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共有ドライブ\共有\2020\R02-01-06_省エネ相談所\CC相談最新ソフト\"/>
    </mc:Choice>
  </mc:AlternateContent>
  <xr:revisionPtr revIDLastSave="0" documentId="8_{053A6ED8-50AF-4169-A9E0-561749B87FD0}" xr6:coauthVersionLast="45" xr6:coauthVersionMax="45" xr10:uidLastSave="{00000000-0000-0000-0000-000000000000}"/>
  <workbookProtection workbookPassword="F8BC" lockStructure="1"/>
  <bookViews>
    <workbookView xWindow="6780" yWindow="-14685" windowWidth="21600" windowHeight="11325" tabRatio="383" activeTab="3" xr2:uid="{00000000-000D-0000-FFFF-FFFF00000000}"/>
  </bookViews>
  <sheets>
    <sheet name="使い方" sheetId="9" r:id="rId1"/>
    <sheet name="初期設定" sheetId="2" r:id="rId2"/>
    <sheet name="印刷用記入シート" sheetId="8" state="hidden" r:id="rId3"/>
    <sheet name="入力" sheetId="6" r:id="rId4"/>
    <sheet name="診断計算" sheetId="5" state="hidden" r:id="rId5"/>
    <sheet name="診断書" sheetId="4" r:id="rId6"/>
    <sheet name="集計レポート" sheetId="10" r:id="rId7"/>
  </sheets>
  <definedNames>
    <definedName name="_xlnm.Print_Area" localSheetId="5">診断書!$A$2:$J$55</definedName>
  </definedNames>
  <calcPr calcId="191029"/>
</workbook>
</file>

<file path=xl/calcChain.xml><?xml version="1.0" encoding="utf-8"?>
<calcChain xmlns="http://schemas.openxmlformats.org/spreadsheetml/2006/main">
  <c r="E16" i="10" l="1"/>
  <c r="F16" i="10"/>
  <c r="G16" i="10"/>
  <c r="H16" i="10"/>
  <c r="I16" i="10"/>
  <c r="J16" i="10"/>
  <c r="K16" i="10"/>
  <c r="L16" i="10"/>
  <c r="M16" i="10"/>
  <c r="N16" i="10"/>
  <c r="D16" i="10"/>
  <c r="G12" i="10"/>
  <c r="F12" i="10"/>
  <c r="E12" i="10"/>
  <c r="D12" i="10"/>
  <c r="C12" i="10" l="1"/>
  <c r="H55" i="10"/>
  <c r="G55" i="10"/>
  <c r="F55" i="10"/>
  <c r="E55" i="10"/>
  <c r="H54" i="10"/>
  <c r="G54" i="10"/>
  <c r="F54" i="10"/>
  <c r="E54" i="10"/>
  <c r="H53" i="10"/>
  <c r="G53" i="10"/>
  <c r="F53" i="10"/>
  <c r="E53" i="10"/>
  <c r="E52" i="10"/>
  <c r="H52" i="10"/>
  <c r="G52" i="10"/>
  <c r="F52" i="10"/>
  <c r="I52" i="10" l="1"/>
  <c r="I53" i="10"/>
  <c r="O5" i="5"/>
  <c r="AC2" i="5" l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B49" i="4" l="1"/>
  <c r="AK8" i="6"/>
  <c r="C21" i="10" s="1"/>
  <c r="AC5" i="5"/>
  <c r="AB5" i="5"/>
  <c r="AA5" i="5"/>
  <c r="Z5" i="5"/>
  <c r="Y5" i="5"/>
  <c r="X5" i="5"/>
  <c r="W5" i="5"/>
  <c r="V5" i="5"/>
  <c r="T5" i="5"/>
  <c r="S5" i="5"/>
  <c r="R5" i="5"/>
  <c r="Q5" i="5"/>
  <c r="P5" i="5"/>
  <c r="N5" i="5"/>
  <c r="M5" i="5"/>
  <c r="L5" i="5"/>
  <c r="K5" i="5"/>
  <c r="J5" i="5"/>
  <c r="I5" i="5"/>
  <c r="H5" i="5"/>
  <c r="AA9" i="5"/>
  <c r="Z9" i="5"/>
  <c r="E42" i="2"/>
  <c r="E41" i="2"/>
  <c r="F16" i="6"/>
  <c r="F15" i="6"/>
  <c r="F14" i="6"/>
  <c r="F13" i="6"/>
  <c r="F12" i="6"/>
  <c r="F11" i="6"/>
  <c r="F10" i="6"/>
  <c r="F9" i="6"/>
  <c r="F8" i="6"/>
  <c r="E62" i="2"/>
  <c r="E56" i="2"/>
  <c r="D50" i="5" s="1"/>
  <c r="E55" i="2"/>
  <c r="B92" i="5"/>
  <c r="B91" i="5"/>
  <c r="AP11" i="6"/>
  <c r="D28" i="10" s="1"/>
  <c r="E12" i="6"/>
  <c r="D8" i="10" s="1"/>
  <c r="E11" i="6"/>
  <c r="D7" i="10" s="1"/>
  <c r="E16" i="6"/>
  <c r="E15" i="6"/>
  <c r="E14" i="6"/>
  <c r="E13" i="6"/>
  <c r="E10" i="6"/>
  <c r="E9" i="6"/>
  <c r="E8" i="6"/>
  <c r="AP16" i="6"/>
  <c r="AP15" i="6"/>
  <c r="AP14" i="6"/>
  <c r="AP13" i="6"/>
  <c r="AP12" i="6"/>
  <c r="AP10" i="6"/>
  <c r="AP9" i="6"/>
  <c r="AP8" i="6"/>
  <c r="B22" i="6"/>
  <c r="AS22" i="6" s="1"/>
  <c r="E88" i="5"/>
  <c r="D88" i="5"/>
  <c r="C88" i="5"/>
  <c r="B88" i="5"/>
  <c r="B62" i="5"/>
  <c r="I8" i="8"/>
  <c r="G74" i="5"/>
  <c r="G78" i="5" s="1"/>
  <c r="D85" i="5" s="1"/>
  <c r="E57" i="5"/>
  <c r="C57" i="5"/>
  <c r="D57" i="5"/>
  <c r="E56" i="5"/>
  <c r="C56" i="5"/>
  <c r="D56" i="5"/>
  <c r="E49" i="5"/>
  <c r="E50" i="5"/>
  <c r="E51" i="5"/>
  <c r="AD5" i="5"/>
  <c r="C5" i="10"/>
  <c r="I5" i="10"/>
  <c r="I24" i="10" s="1"/>
  <c r="C15" i="6"/>
  <c r="H5" i="10" s="1"/>
  <c r="C14" i="6"/>
  <c r="G5" i="10" s="1"/>
  <c r="C13" i="6"/>
  <c r="F5" i="10" s="1"/>
  <c r="C12" i="6"/>
  <c r="E5" i="10" s="1"/>
  <c r="C11" i="6"/>
  <c r="D5" i="10" s="1"/>
  <c r="AO8" i="6"/>
  <c r="C25" i="10" s="1"/>
  <c r="AL8" i="6"/>
  <c r="C22" i="10" s="1"/>
  <c r="AM8" i="6"/>
  <c r="C23" i="10" s="1"/>
  <c r="E51" i="10"/>
  <c r="F51" i="10"/>
  <c r="G51" i="10"/>
  <c r="E50" i="10"/>
  <c r="F50" i="10"/>
  <c r="G50" i="10"/>
  <c r="E49" i="10"/>
  <c r="F49" i="10"/>
  <c r="G49" i="10"/>
  <c r="E48" i="10"/>
  <c r="F48" i="10"/>
  <c r="G48" i="10"/>
  <c r="E47" i="10"/>
  <c r="F47" i="10"/>
  <c r="G47" i="10"/>
  <c r="E46" i="10"/>
  <c r="F46" i="10"/>
  <c r="G46" i="10"/>
  <c r="E45" i="10"/>
  <c r="F45" i="10"/>
  <c r="G45" i="10"/>
  <c r="E43" i="10"/>
  <c r="F43" i="10"/>
  <c r="G43" i="10"/>
  <c r="E42" i="10"/>
  <c r="F42" i="10"/>
  <c r="G42" i="10"/>
  <c r="E41" i="10"/>
  <c r="F41" i="10"/>
  <c r="G41" i="10"/>
  <c r="E40" i="10"/>
  <c r="F40" i="10"/>
  <c r="G40" i="10"/>
  <c r="E39" i="10"/>
  <c r="F39" i="10"/>
  <c r="G39" i="10"/>
  <c r="E38" i="10"/>
  <c r="F38" i="10"/>
  <c r="G38" i="10"/>
  <c r="E37" i="10"/>
  <c r="F37" i="10"/>
  <c r="G37" i="10"/>
  <c r="E36" i="10"/>
  <c r="F36" i="10"/>
  <c r="G36" i="10"/>
  <c r="E35" i="10"/>
  <c r="F35" i="10"/>
  <c r="G35" i="10"/>
  <c r="E34" i="10"/>
  <c r="F34" i="10"/>
  <c r="G34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T14" i="5"/>
  <c r="M34" i="10"/>
  <c r="M35" i="10"/>
  <c r="M36" i="10"/>
  <c r="M37" i="10"/>
  <c r="M38" i="10"/>
  <c r="M39" i="10"/>
  <c r="M40" i="10"/>
  <c r="M41" i="10"/>
  <c r="M42" i="10"/>
  <c r="M46" i="10"/>
  <c r="M51" i="10"/>
  <c r="M54" i="10"/>
  <c r="M55" i="10"/>
  <c r="S14" i="5"/>
  <c r="L34" i="10"/>
  <c r="L35" i="10"/>
  <c r="L36" i="10"/>
  <c r="L37" i="10"/>
  <c r="L38" i="10"/>
  <c r="L39" i="10"/>
  <c r="L47" i="10"/>
  <c r="L48" i="10"/>
  <c r="L49" i="10"/>
  <c r="L50" i="10"/>
  <c r="L51" i="10"/>
  <c r="L54" i="10"/>
  <c r="L55" i="10"/>
  <c r="R14" i="5"/>
  <c r="K34" i="10"/>
  <c r="K35" i="10"/>
  <c r="K36" i="10"/>
  <c r="K44" i="10"/>
  <c r="K45" i="10"/>
  <c r="K46" i="10"/>
  <c r="K47" i="10"/>
  <c r="K48" i="10"/>
  <c r="K49" i="10"/>
  <c r="K50" i="10"/>
  <c r="K51" i="10"/>
  <c r="K54" i="10"/>
  <c r="K55" i="10"/>
  <c r="Q14" i="5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4" i="10"/>
  <c r="J55" i="10"/>
  <c r="P14" i="5"/>
  <c r="B57" i="10"/>
  <c r="B58" i="10"/>
  <c r="B59" i="10"/>
  <c r="B60" i="10"/>
  <c r="B56" i="10"/>
  <c r="H51" i="10"/>
  <c r="H50" i="10"/>
  <c r="H49" i="10"/>
  <c r="H48" i="10"/>
  <c r="H47" i="10"/>
  <c r="H46" i="10"/>
  <c r="H45" i="10"/>
  <c r="H43" i="10"/>
  <c r="H42" i="10"/>
  <c r="H41" i="10"/>
  <c r="H40" i="10"/>
  <c r="H39" i="10"/>
  <c r="H38" i="10"/>
  <c r="H37" i="10"/>
  <c r="H36" i="10"/>
  <c r="H35" i="10"/>
  <c r="H34" i="10"/>
  <c r="H33" i="10"/>
  <c r="G33" i="10"/>
  <c r="F33" i="10"/>
  <c r="E33" i="10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C8" i="5"/>
  <c r="G7" i="4"/>
  <c r="A1" i="8"/>
  <c r="E44" i="2"/>
  <c r="E43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AS29" i="6"/>
  <c r="AS37" i="6"/>
  <c r="AS45" i="6"/>
  <c r="AS51" i="6"/>
  <c r="AS54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S97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S112" i="6"/>
  <c r="AS113" i="6"/>
  <c r="AS114" i="6"/>
  <c r="AS115" i="6"/>
  <c r="AS116" i="6"/>
  <c r="AS117" i="6"/>
  <c r="AS118" i="6"/>
  <c r="AS119" i="6"/>
  <c r="AS120" i="6"/>
  <c r="AS121" i="6"/>
  <c r="AS122" i="6"/>
  <c r="AS123" i="6"/>
  <c r="AS124" i="6"/>
  <c r="AS125" i="6"/>
  <c r="AS126" i="6"/>
  <c r="AS127" i="6"/>
  <c r="AS128" i="6"/>
  <c r="AS129" i="6"/>
  <c r="AS130" i="6"/>
  <c r="AS131" i="6"/>
  <c r="AS132" i="6"/>
  <c r="AS133" i="6"/>
  <c r="AS134" i="6"/>
  <c r="AS135" i="6"/>
  <c r="AS136" i="6"/>
  <c r="AS137" i="6"/>
  <c r="AS138" i="6"/>
  <c r="AS139" i="6"/>
  <c r="AS140" i="6"/>
  <c r="AS141" i="6"/>
  <c r="AS142" i="6"/>
  <c r="AS143" i="6"/>
  <c r="AS144" i="6"/>
  <c r="AS145" i="6"/>
  <c r="AS146" i="6"/>
  <c r="AS147" i="6"/>
  <c r="AS148" i="6"/>
  <c r="AS149" i="6"/>
  <c r="AS150" i="6"/>
  <c r="AS151" i="6"/>
  <c r="AS152" i="6"/>
  <c r="AS153" i="6"/>
  <c r="AS154" i="6"/>
  <c r="AS155" i="6"/>
  <c r="AS156" i="6"/>
  <c r="AS157" i="6"/>
  <c r="AS158" i="6"/>
  <c r="AS159" i="6"/>
  <c r="AS160" i="6"/>
  <c r="AS161" i="6"/>
  <c r="AS162" i="6"/>
  <c r="AS163" i="6"/>
  <c r="AS164" i="6"/>
  <c r="AS165" i="6"/>
  <c r="AS166" i="6"/>
  <c r="AS167" i="6"/>
  <c r="AS168" i="6"/>
  <c r="AS169" i="6"/>
  <c r="AS170" i="6"/>
  <c r="AS171" i="6"/>
  <c r="AS172" i="6"/>
  <c r="AS173" i="6"/>
  <c r="AS174" i="6"/>
  <c r="AS175" i="6"/>
  <c r="AS176" i="6"/>
  <c r="AS177" i="6"/>
  <c r="AS178" i="6"/>
  <c r="AS179" i="6"/>
  <c r="AS180" i="6"/>
  <c r="AS181" i="6"/>
  <c r="AS182" i="6"/>
  <c r="AS183" i="6"/>
  <c r="AS184" i="6"/>
  <c r="AS185" i="6"/>
  <c r="AS186" i="6"/>
  <c r="AS187" i="6"/>
  <c r="AS188" i="6"/>
  <c r="AS189" i="6"/>
  <c r="AS190" i="6"/>
  <c r="AS191" i="6"/>
  <c r="AS192" i="6"/>
  <c r="AS193" i="6"/>
  <c r="AS194" i="6"/>
  <c r="AS195" i="6"/>
  <c r="AS196" i="6"/>
  <c r="AS197" i="6"/>
  <c r="AS198" i="6"/>
  <c r="AS199" i="6"/>
  <c r="AS200" i="6"/>
  <c r="AS201" i="6"/>
  <c r="AS202" i="6"/>
  <c r="AS203" i="6"/>
  <c r="AS204" i="6"/>
  <c r="AS205" i="6"/>
  <c r="AS206" i="6"/>
  <c r="AS207" i="6"/>
  <c r="AS208" i="6"/>
  <c r="AS209" i="6"/>
  <c r="AS210" i="6"/>
  <c r="AS211" i="6"/>
  <c r="AS212" i="6"/>
  <c r="AS213" i="6"/>
  <c r="AS214" i="6"/>
  <c r="AS215" i="6"/>
  <c r="AS216" i="6"/>
  <c r="AS217" i="6"/>
  <c r="AS218" i="6"/>
  <c r="AS219" i="6"/>
  <c r="AS220" i="6"/>
  <c r="AS221" i="6"/>
  <c r="AS222" i="6"/>
  <c r="AS223" i="6"/>
  <c r="AS224" i="6"/>
  <c r="AS225" i="6"/>
  <c r="AS226" i="6"/>
  <c r="AS227" i="6"/>
  <c r="AS228" i="6"/>
  <c r="AS229" i="6"/>
  <c r="AS230" i="6"/>
  <c r="AS231" i="6"/>
  <c r="AS232" i="6"/>
  <c r="AS233" i="6"/>
  <c r="AS234" i="6"/>
  <c r="AS235" i="6"/>
  <c r="AS236" i="6"/>
  <c r="AS237" i="6"/>
  <c r="AS238" i="6"/>
  <c r="AS239" i="6"/>
  <c r="AS240" i="6"/>
  <c r="AS241" i="6"/>
  <c r="AS242" i="6"/>
  <c r="AS243" i="6"/>
  <c r="AS244" i="6"/>
  <c r="AS245" i="6"/>
  <c r="AS246" i="6"/>
  <c r="AS247" i="6"/>
  <c r="AS248" i="6"/>
  <c r="AS249" i="6"/>
  <c r="AS250" i="6"/>
  <c r="AS251" i="6"/>
  <c r="AS252" i="6"/>
  <c r="D62" i="5"/>
  <c r="E62" i="5"/>
  <c r="C62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AB9" i="5"/>
  <c r="AC9" i="5"/>
  <c r="E63" i="5"/>
  <c r="D63" i="5"/>
  <c r="E58" i="5"/>
  <c r="D58" i="5"/>
  <c r="C58" i="5"/>
  <c r="B63" i="5"/>
  <c r="B58" i="5"/>
  <c r="B57" i="5"/>
  <c r="B56" i="5"/>
  <c r="B51" i="5"/>
  <c r="B50" i="5"/>
  <c r="B49" i="5"/>
  <c r="J13" i="5"/>
  <c r="K13" i="5"/>
  <c r="L13" i="5"/>
  <c r="M13" i="5"/>
  <c r="N13" i="5"/>
  <c r="H2" i="4"/>
  <c r="AM10" i="6"/>
  <c r="AM9" i="6"/>
  <c r="AS504" i="6"/>
  <c r="AS503" i="6"/>
  <c r="AS502" i="6"/>
  <c r="AS501" i="6"/>
  <c r="AS500" i="6"/>
  <c r="AS499" i="6"/>
  <c r="AS498" i="6"/>
  <c r="AS497" i="6"/>
  <c r="AS496" i="6"/>
  <c r="AS495" i="6"/>
  <c r="AS494" i="6"/>
  <c r="AS493" i="6"/>
  <c r="AS492" i="6"/>
  <c r="AS491" i="6"/>
  <c r="AS490" i="6"/>
  <c r="AS489" i="6"/>
  <c r="AS488" i="6"/>
  <c r="AS487" i="6"/>
  <c r="AS486" i="6"/>
  <c r="AS485" i="6"/>
  <c r="AS484" i="6"/>
  <c r="AS483" i="6"/>
  <c r="AS482" i="6"/>
  <c r="AS481" i="6"/>
  <c r="AS480" i="6"/>
  <c r="AS479" i="6"/>
  <c r="AS478" i="6"/>
  <c r="AS477" i="6"/>
  <c r="AS476" i="6"/>
  <c r="AS475" i="6"/>
  <c r="AS474" i="6"/>
  <c r="AS473" i="6"/>
  <c r="AS472" i="6"/>
  <c r="AS471" i="6"/>
  <c r="AS470" i="6"/>
  <c r="AS469" i="6"/>
  <c r="AS468" i="6"/>
  <c r="AS467" i="6"/>
  <c r="AS466" i="6"/>
  <c r="AS465" i="6"/>
  <c r="AS464" i="6"/>
  <c r="AS463" i="6"/>
  <c r="AS462" i="6"/>
  <c r="AS461" i="6"/>
  <c r="AS460" i="6"/>
  <c r="AS459" i="6"/>
  <c r="AS458" i="6"/>
  <c r="AS457" i="6"/>
  <c r="AS456" i="6"/>
  <c r="AS455" i="6"/>
  <c r="AS454" i="6"/>
  <c r="AS453" i="6"/>
  <c r="AS452" i="6"/>
  <c r="AS451" i="6"/>
  <c r="AS450" i="6"/>
  <c r="AS449" i="6"/>
  <c r="AS448" i="6"/>
  <c r="AS447" i="6"/>
  <c r="AS446" i="6"/>
  <c r="AS445" i="6"/>
  <c r="AS444" i="6"/>
  <c r="AS443" i="6"/>
  <c r="AS442" i="6"/>
  <c r="AS441" i="6"/>
  <c r="AS440" i="6"/>
  <c r="AS439" i="6"/>
  <c r="AS438" i="6"/>
  <c r="AS437" i="6"/>
  <c r="AS436" i="6"/>
  <c r="AS435" i="6"/>
  <c r="AS434" i="6"/>
  <c r="AS433" i="6"/>
  <c r="AS432" i="6"/>
  <c r="AS431" i="6"/>
  <c r="AS430" i="6"/>
  <c r="AS429" i="6"/>
  <c r="AS428" i="6"/>
  <c r="AS427" i="6"/>
  <c r="AS426" i="6"/>
  <c r="AS425" i="6"/>
  <c r="AS424" i="6"/>
  <c r="AS423" i="6"/>
  <c r="AS422" i="6"/>
  <c r="AS421" i="6"/>
  <c r="AS420" i="6"/>
  <c r="AS419" i="6"/>
  <c r="AS418" i="6"/>
  <c r="AS417" i="6"/>
  <c r="AS416" i="6"/>
  <c r="AS415" i="6"/>
  <c r="AS414" i="6"/>
  <c r="AS413" i="6"/>
  <c r="AS412" i="6"/>
  <c r="AS411" i="6"/>
  <c r="AS410" i="6"/>
  <c r="AS409" i="6"/>
  <c r="AS408" i="6"/>
  <c r="AS407" i="6"/>
  <c r="AS406" i="6"/>
  <c r="AS405" i="6"/>
  <c r="AS404" i="6"/>
  <c r="AS403" i="6"/>
  <c r="AS402" i="6"/>
  <c r="AS401" i="6"/>
  <c r="AS400" i="6"/>
  <c r="AS399" i="6"/>
  <c r="AS398" i="6"/>
  <c r="AS397" i="6"/>
  <c r="AS396" i="6"/>
  <c r="AS395" i="6"/>
  <c r="AS394" i="6"/>
  <c r="AS393" i="6"/>
  <c r="AS392" i="6"/>
  <c r="AS391" i="6"/>
  <c r="AS390" i="6"/>
  <c r="AS389" i="6"/>
  <c r="AS388" i="6"/>
  <c r="AS387" i="6"/>
  <c r="AS386" i="6"/>
  <c r="AS385" i="6"/>
  <c r="AS384" i="6"/>
  <c r="AS383" i="6"/>
  <c r="AS382" i="6"/>
  <c r="AS381" i="6"/>
  <c r="AS380" i="6"/>
  <c r="AS379" i="6"/>
  <c r="AS378" i="6"/>
  <c r="AS377" i="6"/>
  <c r="AS376" i="6"/>
  <c r="AS375" i="6"/>
  <c r="AS374" i="6"/>
  <c r="AS373" i="6"/>
  <c r="AS372" i="6"/>
  <c r="AS371" i="6"/>
  <c r="AS370" i="6"/>
  <c r="AS369" i="6"/>
  <c r="AS368" i="6"/>
  <c r="AS367" i="6"/>
  <c r="AS366" i="6"/>
  <c r="AS365" i="6"/>
  <c r="AS364" i="6"/>
  <c r="AS363" i="6"/>
  <c r="AS362" i="6"/>
  <c r="AS361" i="6"/>
  <c r="AS360" i="6"/>
  <c r="AS359" i="6"/>
  <c r="AS358" i="6"/>
  <c r="AS357" i="6"/>
  <c r="AS356" i="6"/>
  <c r="AS355" i="6"/>
  <c r="AS354" i="6"/>
  <c r="AS353" i="6"/>
  <c r="AS352" i="6"/>
  <c r="AS351" i="6"/>
  <c r="AS350" i="6"/>
  <c r="AS349" i="6"/>
  <c r="AS348" i="6"/>
  <c r="AS347" i="6"/>
  <c r="AS346" i="6"/>
  <c r="AS345" i="6"/>
  <c r="AS344" i="6"/>
  <c r="AS343" i="6"/>
  <c r="AS342" i="6"/>
  <c r="AS341" i="6"/>
  <c r="AS340" i="6"/>
  <c r="AS339" i="6"/>
  <c r="AS338" i="6"/>
  <c r="AS337" i="6"/>
  <c r="AS336" i="6"/>
  <c r="AS335" i="6"/>
  <c r="AS334" i="6"/>
  <c r="AS333" i="6"/>
  <c r="AS332" i="6"/>
  <c r="AS331" i="6"/>
  <c r="AS330" i="6"/>
  <c r="AS329" i="6"/>
  <c r="AS328" i="6"/>
  <c r="AS327" i="6"/>
  <c r="AS326" i="6"/>
  <c r="AS325" i="6"/>
  <c r="AS324" i="6"/>
  <c r="AS323" i="6"/>
  <c r="AS322" i="6"/>
  <c r="AS321" i="6"/>
  <c r="AS320" i="6"/>
  <c r="AS319" i="6"/>
  <c r="AS318" i="6"/>
  <c r="AS317" i="6"/>
  <c r="AS316" i="6"/>
  <c r="AS315" i="6"/>
  <c r="AS314" i="6"/>
  <c r="AS313" i="6"/>
  <c r="AS312" i="6"/>
  <c r="AS311" i="6"/>
  <c r="AS310" i="6"/>
  <c r="AS309" i="6"/>
  <c r="AS308" i="6"/>
  <c r="AS307" i="6"/>
  <c r="AS306" i="6"/>
  <c r="AS305" i="6"/>
  <c r="AS304" i="6"/>
  <c r="AS303" i="6"/>
  <c r="AS302" i="6"/>
  <c r="AS301" i="6"/>
  <c r="AS300" i="6"/>
  <c r="AS299" i="6"/>
  <c r="AS298" i="6"/>
  <c r="AS297" i="6"/>
  <c r="AS296" i="6"/>
  <c r="AS295" i="6"/>
  <c r="AS294" i="6"/>
  <c r="AS293" i="6"/>
  <c r="AS292" i="6"/>
  <c r="AS291" i="6"/>
  <c r="AS290" i="6"/>
  <c r="AS289" i="6"/>
  <c r="AS288" i="6"/>
  <c r="AS287" i="6"/>
  <c r="AS286" i="6"/>
  <c r="AS285" i="6"/>
  <c r="AS284" i="6"/>
  <c r="AS283" i="6"/>
  <c r="AS282" i="6"/>
  <c r="AS281" i="6"/>
  <c r="AS280" i="6"/>
  <c r="AS279" i="6"/>
  <c r="AS278" i="6"/>
  <c r="AS277" i="6"/>
  <c r="AS276" i="6"/>
  <c r="AS275" i="6"/>
  <c r="AS274" i="6"/>
  <c r="AS273" i="6"/>
  <c r="AS272" i="6"/>
  <c r="AS271" i="6"/>
  <c r="AS270" i="6"/>
  <c r="AS269" i="6"/>
  <c r="AS268" i="6"/>
  <c r="AS267" i="6"/>
  <c r="AS266" i="6"/>
  <c r="AS265" i="6"/>
  <c r="AS264" i="6"/>
  <c r="AS263" i="6"/>
  <c r="AS262" i="6"/>
  <c r="AS261" i="6"/>
  <c r="AS260" i="6"/>
  <c r="AS259" i="6"/>
  <c r="AS258" i="6"/>
  <c r="AS257" i="6"/>
  <c r="AS256" i="6"/>
  <c r="AS255" i="6"/>
  <c r="AS254" i="6"/>
  <c r="AS253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AS57" i="6" s="1"/>
  <c r="B56" i="6"/>
  <c r="AS56" i="6" s="1"/>
  <c r="B55" i="6"/>
  <c r="AS55" i="6" s="1"/>
  <c r="B54" i="6"/>
  <c r="B53" i="6"/>
  <c r="AS53" i="6" s="1"/>
  <c r="B52" i="6"/>
  <c r="AS52" i="6" s="1"/>
  <c r="B51" i="6"/>
  <c r="B50" i="6"/>
  <c r="AS50" i="6" s="1"/>
  <c r="B49" i="6"/>
  <c r="AS49" i="6" s="1"/>
  <c r="B48" i="6"/>
  <c r="B47" i="6"/>
  <c r="AS47" i="6" s="1"/>
  <c r="B46" i="6"/>
  <c r="AS46" i="6" s="1"/>
  <c r="B45" i="6"/>
  <c r="B44" i="6"/>
  <c r="AS44" i="6" s="1"/>
  <c r="B43" i="6"/>
  <c r="AS43" i="6" s="1"/>
  <c r="B42" i="6"/>
  <c r="AS42" i="6" s="1"/>
  <c r="B41" i="6"/>
  <c r="AS41" i="6" s="1"/>
  <c r="B40" i="6"/>
  <c r="AS40" i="6" s="1"/>
  <c r="B39" i="6"/>
  <c r="AS39" i="6" s="1"/>
  <c r="B38" i="6"/>
  <c r="AS38" i="6" s="1"/>
  <c r="B37" i="6"/>
  <c r="B36" i="6"/>
  <c r="AS36" i="6" s="1"/>
  <c r="B35" i="6"/>
  <c r="AS35" i="6" s="1"/>
  <c r="B34" i="6"/>
  <c r="AS34" i="6" s="1"/>
  <c r="B33" i="6"/>
  <c r="AS33" i="6" s="1"/>
  <c r="B32" i="6"/>
  <c r="AS32" i="6" s="1"/>
  <c r="B31" i="6"/>
  <c r="AS31" i="6" s="1"/>
  <c r="B30" i="6"/>
  <c r="AS30" i="6" s="1"/>
  <c r="B29" i="6"/>
  <c r="B28" i="6"/>
  <c r="AS28" i="6" s="1"/>
  <c r="B27" i="6"/>
  <c r="AS27" i="6" s="1"/>
  <c r="B26" i="6"/>
  <c r="AS26" i="6" s="1"/>
  <c r="B25" i="6"/>
  <c r="AS25" i="6" s="1"/>
  <c r="B24" i="6"/>
  <c r="AS24" i="6"/>
  <c r="B23" i="6"/>
  <c r="AS23" i="6" s="1"/>
  <c r="AH16" i="6"/>
  <c r="AG16" i="6"/>
  <c r="AF16" i="6"/>
  <c r="AE16" i="6"/>
  <c r="AD16" i="6"/>
  <c r="AC16" i="6"/>
  <c r="AB16" i="6"/>
  <c r="AA16" i="6"/>
  <c r="Z16" i="6"/>
  <c r="X16" i="6"/>
  <c r="W16" i="6"/>
  <c r="V16" i="6"/>
  <c r="U16" i="6"/>
  <c r="T16" i="6"/>
  <c r="S16" i="6"/>
  <c r="R16" i="6"/>
  <c r="Q16" i="6"/>
  <c r="P16" i="6"/>
  <c r="AH15" i="6"/>
  <c r="AG15" i="6"/>
  <c r="AF15" i="6"/>
  <c r="AE15" i="6"/>
  <c r="AD15" i="6"/>
  <c r="AC15" i="6"/>
  <c r="AB15" i="6"/>
  <c r="AA15" i="6"/>
  <c r="Z15" i="6"/>
  <c r="X15" i="6"/>
  <c r="W15" i="6"/>
  <c r="V15" i="6"/>
  <c r="U15" i="6"/>
  <c r="T15" i="6"/>
  <c r="S15" i="6"/>
  <c r="R15" i="6"/>
  <c r="Q15" i="6"/>
  <c r="P15" i="6"/>
  <c r="AH14" i="6"/>
  <c r="AG14" i="6"/>
  <c r="AF14" i="6"/>
  <c r="AE14" i="6"/>
  <c r="AD14" i="6"/>
  <c r="AC14" i="6"/>
  <c r="AB14" i="6"/>
  <c r="AA14" i="6"/>
  <c r="Z14" i="6"/>
  <c r="X14" i="6"/>
  <c r="W14" i="6"/>
  <c r="V14" i="6"/>
  <c r="U14" i="6"/>
  <c r="T14" i="6"/>
  <c r="S14" i="6"/>
  <c r="R14" i="6"/>
  <c r="Q14" i="6"/>
  <c r="P14" i="6"/>
  <c r="AH13" i="6"/>
  <c r="AG13" i="6"/>
  <c r="AF13" i="6"/>
  <c r="AE13" i="6"/>
  <c r="AD13" i="6"/>
  <c r="AC13" i="6"/>
  <c r="AB13" i="6"/>
  <c r="AA13" i="6"/>
  <c r="Z13" i="6"/>
  <c r="X13" i="6"/>
  <c r="W13" i="6"/>
  <c r="V13" i="6"/>
  <c r="U13" i="6"/>
  <c r="T13" i="6"/>
  <c r="S13" i="6"/>
  <c r="R13" i="6"/>
  <c r="Q13" i="6"/>
  <c r="P13" i="6"/>
  <c r="AH12" i="6"/>
  <c r="AG12" i="6"/>
  <c r="AF12" i="6"/>
  <c r="AE12" i="6"/>
  <c r="AD12" i="6"/>
  <c r="AC12" i="6"/>
  <c r="AB12" i="6"/>
  <c r="AA12" i="6"/>
  <c r="Z12" i="6"/>
  <c r="X12" i="6"/>
  <c r="W12" i="6"/>
  <c r="V12" i="6"/>
  <c r="U12" i="6"/>
  <c r="T12" i="6"/>
  <c r="S12" i="6"/>
  <c r="R12" i="6"/>
  <c r="Q12" i="6"/>
  <c r="P12" i="6"/>
  <c r="AH11" i="6"/>
  <c r="AG11" i="6"/>
  <c r="AF11" i="6"/>
  <c r="AE11" i="6"/>
  <c r="AD11" i="6"/>
  <c r="AC11" i="6"/>
  <c r="AB11" i="6"/>
  <c r="AA11" i="6"/>
  <c r="Z11" i="6"/>
  <c r="X11" i="6"/>
  <c r="W11" i="6"/>
  <c r="V11" i="6"/>
  <c r="U11" i="6"/>
  <c r="T11" i="6"/>
  <c r="S11" i="6"/>
  <c r="R11" i="6"/>
  <c r="Q11" i="6"/>
  <c r="P11" i="6"/>
  <c r="AH10" i="6"/>
  <c r="AG10" i="6"/>
  <c r="AF10" i="6"/>
  <c r="AE10" i="6"/>
  <c r="AD10" i="6"/>
  <c r="AC10" i="6"/>
  <c r="AB10" i="6"/>
  <c r="AA10" i="6"/>
  <c r="Z10" i="6"/>
  <c r="X10" i="6"/>
  <c r="W10" i="6"/>
  <c r="V10" i="6"/>
  <c r="U10" i="6"/>
  <c r="T10" i="6"/>
  <c r="S10" i="6"/>
  <c r="R10" i="6"/>
  <c r="Q10" i="6"/>
  <c r="P10" i="6"/>
  <c r="AH9" i="6"/>
  <c r="AG9" i="6"/>
  <c r="AF9" i="6"/>
  <c r="AE9" i="6"/>
  <c r="AD9" i="6"/>
  <c r="AC9" i="6"/>
  <c r="AB9" i="6"/>
  <c r="AA9" i="6"/>
  <c r="Z9" i="6"/>
  <c r="X9" i="6"/>
  <c r="W9" i="6"/>
  <c r="V9" i="6"/>
  <c r="U9" i="6"/>
  <c r="T9" i="6"/>
  <c r="S9" i="6"/>
  <c r="R9" i="6"/>
  <c r="Q9" i="6"/>
  <c r="P9" i="6"/>
  <c r="AH8" i="6"/>
  <c r="AG8" i="6"/>
  <c r="AF8" i="6"/>
  <c r="AE8" i="6"/>
  <c r="AD8" i="6"/>
  <c r="AC8" i="6"/>
  <c r="AB8" i="6"/>
  <c r="AA8" i="6"/>
  <c r="Z8" i="6"/>
  <c r="X8" i="6"/>
  <c r="W8" i="6"/>
  <c r="V8" i="6"/>
  <c r="U8" i="6"/>
  <c r="T8" i="6"/>
  <c r="S8" i="6"/>
  <c r="R8" i="6"/>
  <c r="Q8" i="6"/>
  <c r="P8" i="6"/>
  <c r="O16" i="6"/>
  <c r="O15" i="6"/>
  <c r="O14" i="6"/>
  <c r="O13" i="6"/>
  <c r="O12" i="6"/>
  <c r="O11" i="6"/>
  <c r="O10" i="6"/>
  <c r="O9" i="6"/>
  <c r="O8" i="6"/>
  <c r="AO10" i="6"/>
  <c r="AO9" i="6"/>
  <c r="AN10" i="6"/>
  <c r="AN9" i="6"/>
  <c r="AN8" i="6"/>
  <c r="C24" i="10" s="1"/>
  <c r="AL10" i="6"/>
  <c r="AL9" i="6"/>
  <c r="C16" i="6"/>
  <c r="C10" i="6"/>
  <c r="C9" i="6"/>
  <c r="C8" i="6"/>
  <c r="C63" i="5"/>
  <c r="G76" i="5"/>
  <c r="C85" i="5" s="1"/>
  <c r="G79" i="5"/>
  <c r="E85" i="5" s="1"/>
  <c r="G75" i="5"/>
  <c r="B85" i="5" s="1"/>
  <c r="N50" i="10"/>
  <c r="K43" i="10"/>
  <c r="J38" i="10"/>
  <c r="G77" i="5" l="1"/>
  <c r="I48" i="10"/>
  <c r="N48" i="10" s="1"/>
  <c r="I46" i="10"/>
  <c r="N46" i="10" s="1"/>
  <c r="I50" i="10"/>
  <c r="I47" i="10"/>
  <c r="N47" i="10" s="1"/>
  <c r="I51" i="10"/>
  <c r="I45" i="10"/>
  <c r="M45" i="10" s="1"/>
  <c r="I49" i="10"/>
  <c r="N49" i="10" s="1"/>
  <c r="I25" i="10"/>
  <c r="I22" i="10"/>
  <c r="I23" i="10"/>
  <c r="A85" i="5"/>
  <c r="D49" i="5"/>
  <c r="C49" i="5" s="1"/>
  <c r="F49" i="5" s="1"/>
  <c r="C50" i="5" s="1"/>
  <c r="F50" i="5" s="1"/>
  <c r="F56" i="5"/>
  <c r="F57" i="5"/>
  <c r="D51" i="5"/>
  <c r="F51" i="5" s="1"/>
  <c r="F63" i="5"/>
  <c r="N51" i="10"/>
  <c r="E19" i="5"/>
  <c r="E17" i="5"/>
  <c r="E20" i="5"/>
  <c r="E18" i="5"/>
  <c r="E16" i="5"/>
  <c r="F62" i="5"/>
  <c r="C17" i="5"/>
  <c r="C18" i="5"/>
  <c r="C15" i="5"/>
  <c r="F58" i="5"/>
  <c r="E15" i="5"/>
  <c r="B17" i="5"/>
  <c r="B15" i="5"/>
  <c r="B19" i="5"/>
  <c r="B16" i="5"/>
  <c r="B18" i="5"/>
  <c r="B20" i="5"/>
  <c r="D20" i="5"/>
  <c r="D15" i="5"/>
  <c r="D17" i="5"/>
  <c r="D18" i="5"/>
  <c r="D19" i="5"/>
  <c r="D16" i="5"/>
  <c r="C20" i="5"/>
  <c r="I39" i="10"/>
  <c r="K39" i="10" s="1"/>
  <c r="C19" i="5"/>
  <c r="I36" i="10"/>
  <c r="J36" i="10" s="1"/>
  <c r="I54" i="10"/>
  <c r="N54" i="10" s="1"/>
  <c r="C16" i="5"/>
  <c r="AK9" i="6"/>
  <c r="AK10" i="6"/>
  <c r="I21" i="10"/>
  <c r="I34" i="10"/>
  <c r="J34" i="10" s="1"/>
  <c r="I38" i="10"/>
  <c r="K38" i="10" s="1"/>
  <c r="I42" i="10"/>
  <c r="L46" i="10"/>
  <c r="M50" i="10"/>
  <c r="D22" i="10"/>
  <c r="D25" i="10"/>
  <c r="D21" i="10"/>
  <c r="D24" i="10"/>
  <c r="D23" i="10"/>
  <c r="I37" i="10"/>
  <c r="I41" i="10"/>
  <c r="L45" i="10"/>
  <c r="M49" i="10"/>
  <c r="I55" i="10"/>
  <c r="N55" i="10" s="1"/>
  <c r="I40" i="10"/>
  <c r="M48" i="10"/>
  <c r="I35" i="10"/>
  <c r="J35" i="10" s="1"/>
  <c r="I43" i="10"/>
  <c r="M47" i="10"/>
  <c r="D29" i="10"/>
  <c r="F23" i="10"/>
  <c r="F24" i="10"/>
  <c r="F22" i="10"/>
  <c r="F25" i="10"/>
  <c r="F21" i="10"/>
  <c r="G23" i="10"/>
  <c r="G24" i="10"/>
  <c r="G22" i="10"/>
  <c r="G21" i="10"/>
  <c r="C26" i="10"/>
  <c r="H22" i="10"/>
  <c r="H21" i="10"/>
  <c r="H23" i="10"/>
  <c r="H24" i="10"/>
  <c r="H25" i="10"/>
  <c r="E21" i="10"/>
  <c r="E22" i="10"/>
  <c r="E24" i="10"/>
  <c r="E25" i="10"/>
  <c r="E23" i="10"/>
  <c r="G25" i="10"/>
  <c r="C51" i="5" l="1"/>
  <c r="I26" i="10"/>
  <c r="L43" i="10"/>
  <c r="M43" i="10"/>
  <c r="K42" i="10"/>
  <c r="L42" i="10"/>
  <c r="K40" i="10"/>
  <c r="L40" i="10"/>
  <c r="K41" i="10"/>
  <c r="L41" i="10"/>
  <c r="J37" i="10"/>
  <c r="J56" i="10" s="1"/>
  <c r="I56" i="10" s="1"/>
  <c r="K37" i="10"/>
  <c r="N56" i="10"/>
  <c r="I60" i="10" s="1"/>
  <c r="F26" i="10"/>
  <c r="D26" i="10"/>
  <c r="G26" i="10"/>
  <c r="E26" i="10"/>
  <c r="H26" i="10"/>
  <c r="G44" i="10"/>
  <c r="Y11" i="6"/>
  <c r="H44" i="10"/>
  <c r="Y14" i="6"/>
  <c r="Y16" i="6"/>
  <c r="Y13" i="6"/>
  <c r="Y10" i="6"/>
  <c r="Y8" i="6"/>
  <c r="Y12" i="6"/>
  <c r="Y15" i="6"/>
  <c r="F44" i="10"/>
  <c r="Y9" i="6"/>
  <c r="E44" i="10"/>
  <c r="AS48" i="6"/>
  <c r="J4" i="6" s="1"/>
  <c r="A6" i="5" s="1"/>
  <c r="K56" i="10" l="1"/>
  <c r="I57" i="10" s="1"/>
  <c r="I44" i="10"/>
  <c r="L6" i="5"/>
  <c r="L7" i="5" s="1"/>
  <c r="N6" i="5"/>
  <c r="N7" i="5" s="1"/>
  <c r="AF6" i="5"/>
  <c r="AF7" i="5" s="1"/>
  <c r="S6" i="5"/>
  <c r="S7" i="5" s="1"/>
  <c r="Y6" i="5"/>
  <c r="Y7" i="5" s="1"/>
  <c r="Z6" i="5"/>
  <c r="Z7" i="5" s="1"/>
  <c r="O6" i="5"/>
  <c r="O7" i="5" s="1"/>
  <c r="I6" i="5"/>
  <c r="I7" i="5" s="1"/>
  <c r="AJ6" i="5"/>
  <c r="AJ7" i="5" s="1"/>
  <c r="AJ8" i="5" s="1"/>
  <c r="AM6" i="5"/>
  <c r="AM7" i="5" s="1"/>
  <c r="AM8" i="5" s="1"/>
  <c r="T6" i="5"/>
  <c r="T7" i="5" s="1"/>
  <c r="P6" i="5"/>
  <c r="P7" i="5" s="1"/>
  <c r="AD6" i="5"/>
  <c r="AG6" i="5"/>
  <c r="AB6" i="5"/>
  <c r="AB7" i="5" s="1"/>
  <c r="AI6" i="5"/>
  <c r="AI7" i="5" s="1"/>
  <c r="AI8" i="5" s="1"/>
  <c r="AA6" i="5"/>
  <c r="AA7" i="5" s="1"/>
  <c r="E6" i="5"/>
  <c r="E7" i="5" s="1"/>
  <c r="D26" i="5" s="1"/>
  <c r="AK6" i="5"/>
  <c r="AK7" i="5" s="1"/>
  <c r="AK8" i="5" s="1"/>
  <c r="B6" i="5"/>
  <c r="B7" i="5" s="1"/>
  <c r="AC6" i="5"/>
  <c r="AC7" i="5" s="1"/>
  <c r="W6" i="5"/>
  <c r="W7" i="5" s="1"/>
  <c r="J6" i="5"/>
  <c r="J7" i="5" s="1"/>
  <c r="H6" i="5"/>
  <c r="H7" i="5" s="1"/>
  <c r="G6" i="5"/>
  <c r="G7" i="5" s="1"/>
  <c r="V6" i="5"/>
  <c r="V7" i="5" s="1"/>
  <c r="K6" i="5"/>
  <c r="K7" i="5" s="1"/>
  <c r="R6" i="5"/>
  <c r="R7" i="5" s="1"/>
  <c r="M6" i="5"/>
  <c r="M7" i="5" s="1"/>
  <c r="Q6" i="5"/>
  <c r="Q7" i="5" s="1"/>
  <c r="X6" i="5"/>
  <c r="X7" i="5" s="1"/>
  <c r="C6" i="5"/>
  <c r="C7" i="5" s="1"/>
  <c r="AL6" i="5"/>
  <c r="AL7" i="5" s="1"/>
  <c r="AL8" i="5" s="1"/>
  <c r="AH6" i="5"/>
  <c r="AH7" i="5" s="1"/>
  <c r="AH8" i="5" s="1"/>
  <c r="F6" i="5"/>
  <c r="F7" i="5" s="1"/>
  <c r="E26" i="5" s="1"/>
  <c r="AN6" i="5"/>
  <c r="AN7" i="5" s="1"/>
  <c r="AN8" i="5" s="1"/>
  <c r="U6" i="5"/>
  <c r="U7" i="5" s="1"/>
  <c r="D6" i="5"/>
  <c r="AE6" i="5"/>
  <c r="AE7" i="5" s="1"/>
  <c r="I4" i="4" s="1"/>
  <c r="L44" i="10" l="1"/>
  <c r="L56" i="10" s="1"/>
  <c r="I58" i="10" s="1"/>
  <c r="M44" i="10"/>
  <c r="M56" i="10" s="1"/>
  <c r="I59" i="10" s="1"/>
  <c r="H58" i="5"/>
  <c r="H57" i="5"/>
  <c r="H56" i="5"/>
  <c r="M14" i="5"/>
  <c r="K14" i="5"/>
  <c r="L14" i="5"/>
  <c r="N14" i="5"/>
  <c r="J14" i="5"/>
  <c r="U5" i="5"/>
  <c r="H50" i="5"/>
  <c r="B26" i="5"/>
  <c r="H51" i="5"/>
  <c r="H49" i="5"/>
  <c r="C25" i="5"/>
  <c r="C67" i="5" s="1"/>
  <c r="D7" i="5"/>
  <c r="C26" i="5" s="1"/>
  <c r="Y18" i="5"/>
  <c r="AG7" i="5"/>
  <c r="AO8" i="5"/>
  <c r="AP8" i="5" s="1"/>
  <c r="B29" i="4" s="1"/>
  <c r="C48" i="4"/>
  <c r="A27" i="5"/>
  <c r="G32" i="4" s="1"/>
  <c r="B93" i="5"/>
  <c r="B94" i="5" s="1"/>
  <c r="B95" i="5" s="1"/>
  <c r="B96" i="5" s="1"/>
  <c r="B97" i="5" s="1"/>
  <c r="B99" i="5"/>
  <c r="B100" i="5" s="1"/>
  <c r="D27" i="5"/>
  <c r="D69" i="5" s="1"/>
  <c r="E27" i="5"/>
  <c r="E69" i="5" s="1"/>
  <c r="H59" i="5" l="1"/>
  <c r="C27" i="5"/>
  <c r="C69" i="5" s="1"/>
  <c r="B27" i="5"/>
  <c r="B69" i="5" s="1"/>
  <c r="H52" i="5"/>
  <c r="L17" i="5"/>
  <c r="L16" i="5"/>
  <c r="D28" i="5"/>
  <c r="D29" i="5" s="1"/>
  <c r="I37" i="4" s="1"/>
  <c r="D68" i="5"/>
  <c r="E28" i="5"/>
  <c r="E29" i="5" s="1"/>
  <c r="I38" i="4" s="1"/>
  <c r="K16" i="5"/>
  <c r="K17" i="5"/>
  <c r="B24" i="4"/>
  <c r="O15" i="5"/>
  <c r="M15" i="5" s="1"/>
  <c r="J17" i="5"/>
  <c r="J16" i="5"/>
  <c r="M17" i="5"/>
  <c r="M16" i="5"/>
  <c r="B45" i="4"/>
  <c r="C47" i="4"/>
  <c r="H62" i="5"/>
  <c r="H63" i="5"/>
  <c r="E68" i="5"/>
  <c r="N17" i="5"/>
  <c r="N16" i="5"/>
  <c r="B68" i="5" l="1"/>
  <c r="H37" i="4"/>
  <c r="B28" i="5"/>
  <c r="C28" i="5"/>
  <c r="F69" i="5"/>
  <c r="K15" i="5"/>
  <c r="J15" i="5"/>
  <c r="L15" i="5"/>
  <c r="N15" i="5"/>
  <c r="H64" i="5"/>
  <c r="C68" i="5" s="1"/>
  <c r="P16" i="5"/>
  <c r="H38" i="4"/>
  <c r="P17" i="5"/>
  <c r="F68" i="5" l="1"/>
  <c r="D48" i="4" s="1"/>
  <c r="H35" i="4"/>
  <c r="B29" i="5"/>
  <c r="I35" i="4" s="1"/>
  <c r="H36" i="4"/>
  <c r="C29" i="5"/>
  <c r="G12" i="4"/>
  <c r="P15" i="5"/>
  <c r="B53" i="4" l="1"/>
  <c r="B54" i="4"/>
  <c r="E70" i="5"/>
  <c r="D70" i="5"/>
  <c r="B70" i="5"/>
  <c r="B47" i="4"/>
  <c r="C70" i="5"/>
  <c r="I36" i="4"/>
  <c r="V20" i="5"/>
  <c r="AA20" i="5"/>
  <c r="X20" i="5"/>
  <c r="M20" i="5"/>
  <c r="AC20" i="5"/>
  <c r="N20" i="5"/>
  <c r="AB20" i="5"/>
  <c r="J20" i="5"/>
  <c r="Q20" i="5"/>
  <c r="I20" i="5"/>
  <c r="T20" i="5"/>
  <c r="H20" i="5"/>
  <c r="Z20" i="5"/>
  <c r="U20" i="5"/>
  <c r="P20" i="5"/>
  <c r="S20" i="5"/>
  <c r="Y20" i="5"/>
  <c r="O20" i="5"/>
  <c r="R20" i="5"/>
  <c r="K20" i="5"/>
  <c r="W20" i="5"/>
  <c r="L20" i="5"/>
  <c r="F70" i="5" l="1"/>
  <c r="B71" i="5" s="1"/>
  <c r="AD21" i="5"/>
  <c r="Q21" i="5" s="1"/>
  <c r="Q23" i="5" s="1"/>
  <c r="E71" i="5" l="1"/>
  <c r="C71" i="5"/>
  <c r="D71" i="5"/>
  <c r="Q32" i="5"/>
  <c r="R21" i="5"/>
  <c r="R23" i="5" s="1"/>
  <c r="Z21" i="5"/>
  <c r="Z23" i="5" s="1"/>
  <c r="AA21" i="5"/>
  <c r="AA23" i="5" s="1"/>
  <c r="N21" i="5"/>
  <c r="N23" i="5" s="1"/>
  <c r="S21" i="5"/>
  <c r="S23" i="5" s="1"/>
  <c r="AB21" i="5"/>
  <c r="AB23" i="5" s="1"/>
  <c r="M21" i="5"/>
  <c r="M23" i="5" s="1"/>
  <c r="Y21" i="5"/>
  <c r="Y23" i="5" s="1"/>
  <c r="V21" i="5"/>
  <c r="V23" i="5" s="1"/>
  <c r="W21" i="5"/>
  <c r="W23" i="5" s="1"/>
  <c r="P21" i="5"/>
  <c r="P23" i="5" s="1"/>
  <c r="X21" i="5"/>
  <c r="X23" i="5" s="1"/>
  <c r="K21" i="5"/>
  <c r="K23" i="5" s="1"/>
  <c r="I21" i="5"/>
  <c r="I23" i="5" s="1"/>
  <c r="U21" i="5"/>
  <c r="U23" i="5" s="1"/>
  <c r="T21" i="5"/>
  <c r="T23" i="5" s="1"/>
  <c r="H21" i="5"/>
  <c r="O21" i="5"/>
  <c r="O23" i="5" s="1"/>
  <c r="AC21" i="5"/>
  <c r="AC23" i="5" s="1"/>
  <c r="L21" i="5"/>
  <c r="L23" i="5" s="1"/>
  <c r="J21" i="5"/>
  <c r="J23" i="5" s="1"/>
  <c r="F71" i="5" l="1"/>
  <c r="O32" i="5"/>
  <c r="I32" i="5"/>
  <c r="W32" i="5"/>
  <c r="AB32" i="5"/>
  <c r="Z32" i="5"/>
  <c r="AE21" i="5"/>
  <c r="AF21" i="5" s="1"/>
  <c r="B26" i="4" s="1"/>
  <c r="H23" i="5"/>
  <c r="K32" i="5"/>
  <c r="V32" i="5"/>
  <c r="S32" i="5"/>
  <c r="R32" i="5"/>
  <c r="J32" i="5"/>
  <c r="T32" i="5"/>
  <c r="X32" i="5"/>
  <c r="Y32" i="5"/>
  <c r="N32" i="5"/>
  <c r="L32" i="5"/>
  <c r="AC32" i="5"/>
  <c r="U32" i="5"/>
  <c r="P32" i="5"/>
  <c r="M32" i="5"/>
  <c r="AA32" i="5"/>
  <c r="AD24" i="5" l="1"/>
  <c r="G24" i="5" s="1"/>
  <c r="H32" i="5"/>
  <c r="M33" i="5" s="1"/>
  <c r="O33" i="5" l="1"/>
  <c r="R33" i="5"/>
  <c r="X33" i="5"/>
  <c r="Z33" i="5"/>
  <c r="S33" i="5"/>
  <c r="H33" i="5"/>
  <c r="Q33" i="5"/>
  <c r="I33" i="5"/>
  <c r="H24" i="5"/>
  <c r="H26" i="5" s="1"/>
  <c r="AB33" i="5"/>
  <c r="K33" i="5"/>
  <c r="P33" i="5"/>
  <c r="U33" i="5"/>
  <c r="V33" i="5"/>
  <c r="T33" i="5"/>
  <c r="W33" i="5"/>
  <c r="N33" i="5"/>
  <c r="L33" i="5"/>
  <c r="J33" i="5"/>
  <c r="AA33" i="5"/>
  <c r="AC33" i="5"/>
  <c r="Y33" i="5"/>
  <c r="Q24" i="5"/>
  <c r="Q26" i="5" s="1"/>
  <c r="S24" i="5"/>
  <c r="S26" i="5" s="1"/>
  <c r="AC24" i="5"/>
  <c r="AC26" i="5" s="1"/>
  <c r="P24" i="5"/>
  <c r="P26" i="5" s="1"/>
  <c r="AA24" i="5"/>
  <c r="AA26" i="5" s="1"/>
  <c r="R24" i="5"/>
  <c r="R26" i="5" s="1"/>
  <c r="Y24" i="5"/>
  <c r="Y26" i="5" s="1"/>
  <c r="O24" i="5"/>
  <c r="O26" i="5" s="1"/>
  <c r="W24" i="5"/>
  <c r="W26" i="5" s="1"/>
  <c r="Z24" i="5"/>
  <c r="Z26" i="5" s="1"/>
  <c r="K24" i="5"/>
  <c r="K26" i="5" s="1"/>
  <c r="J24" i="5"/>
  <c r="J26" i="5" s="1"/>
  <c r="X24" i="5"/>
  <c r="X26" i="5" s="1"/>
  <c r="N24" i="5"/>
  <c r="N26" i="5" s="1"/>
  <c r="U24" i="5"/>
  <c r="U26" i="5" s="1"/>
  <c r="V24" i="5"/>
  <c r="V26" i="5" s="1"/>
  <c r="T24" i="5"/>
  <c r="T26" i="5" s="1"/>
  <c r="L24" i="5"/>
  <c r="L26" i="5" s="1"/>
  <c r="I24" i="5"/>
  <c r="I26" i="5" s="1"/>
  <c r="AB24" i="5"/>
  <c r="AB26" i="5" s="1"/>
  <c r="M24" i="5"/>
  <c r="M26" i="5" s="1"/>
  <c r="AF33" i="5" l="1"/>
  <c r="AG33" i="5" s="1"/>
  <c r="G16" i="4" s="1"/>
  <c r="AE24" i="5"/>
  <c r="AF24" i="5" s="1"/>
  <c r="B27" i="4" s="1"/>
  <c r="AD27" i="5"/>
  <c r="AB27" i="5" s="1"/>
  <c r="H27" i="5" l="1"/>
  <c r="Y27" i="5"/>
  <c r="W27" i="5"/>
  <c r="Z27" i="5"/>
  <c r="T27" i="5"/>
  <c r="N27" i="5"/>
  <c r="Q27" i="5"/>
  <c r="M27" i="5"/>
  <c r="L27" i="5"/>
  <c r="AA27" i="5"/>
  <c r="S27" i="5"/>
  <c r="V27" i="5"/>
  <c r="K27" i="5"/>
  <c r="P27" i="5"/>
  <c r="U27" i="5"/>
  <c r="J27" i="5"/>
  <c r="X27" i="5"/>
  <c r="R27" i="5"/>
  <c r="O27" i="5"/>
  <c r="AC27" i="5"/>
  <c r="I27" i="5"/>
  <c r="AE27" i="5" l="1"/>
  <c r="AF27" i="5" s="1"/>
  <c r="B2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鈴木靖文</author>
  </authors>
  <commentList>
    <comment ref="F22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鈴木靖文:</t>
        </r>
        <r>
          <rPr>
            <sz val="9"/>
            <color indexed="81"/>
            <rFont val="ＭＳ Ｐゴシック"/>
            <family val="3"/>
            <charset val="128"/>
          </rPr>
          <t xml:space="preserve">
　たとえば「車のアイドリングを止める」など、「持っていない・関係ない」場合に「できている」とみなせる場合には、ここに1を記入する。
　ここを空白にすると、「持っていない・関係ない」場合は評価に含めない。</t>
        </r>
      </text>
    </comment>
  </commentList>
</comments>
</file>

<file path=xl/sharedStrings.xml><?xml version="1.0" encoding="utf-8"?>
<sst xmlns="http://schemas.openxmlformats.org/spreadsheetml/2006/main" count="576" uniqueCount="445">
  <si>
    <t>家族人数</t>
    <rPh sb="0" eb="2">
      <t>カゾク</t>
    </rPh>
    <rPh sb="2" eb="4">
      <t>ニンズウ</t>
    </rPh>
    <phoneticPr fontId="3"/>
  </si>
  <si>
    <t>電気代</t>
    <rPh sb="0" eb="3">
      <t>デンキダイ</t>
    </rPh>
    <phoneticPr fontId="3"/>
  </si>
  <si>
    <t>灯油代</t>
    <rPh sb="0" eb="2">
      <t>トウユ</t>
    </rPh>
    <rPh sb="2" eb="3">
      <t>ダイ</t>
    </rPh>
    <phoneticPr fontId="3"/>
  </si>
  <si>
    <t>ガソリン代</t>
    <rPh sb="4" eb="5">
      <t>ダイ</t>
    </rPh>
    <phoneticPr fontId="3"/>
  </si>
  <si>
    <t>評価軸</t>
    <rPh sb="0" eb="2">
      <t>ヒョウカ</t>
    </rPh>
    <rPh sb="2" eb="3">
      <t>ジク</t>
    </rPh>
    <phoneticPr fontId="3"/>
  </si>
  <si>
    <t>プログラム名</t>
    <rPh sb="5" eb="6">
      <t>メイ</t>
    </rPh>
    <phoneticPr fontId="3"/>
  </si>
  <si>
    <t>（１）プログラム設定</t>
    <rPh sb="8" eb="10">
      <t>セッテイ</t>
    </rPh>
    <phoneticPr fontId="3"/>
  </si>
  <si>
    <t>取組番号</t>
    <rPh sb="0" eb="2">
      <t>トリクミ</t>
    </rPh>
    <rPh sb="2" eb="4">
      <t>バンゴウ</t>
    </rPh>
    <phoneticPr fontId="3"/>
  </si>
  <si>
    <t>取り組み名</t>
    <rPh sb="0" eb="1">
      <t>ト</t>
    </rPh>
    <rPh sb="2" eb="3">
      <t>ク</t>
    </rPh>
    <rPh sb="4" eb="5">
      <t>メイ</t>
    </rPh>
    <phoneticPr fontId="3"/>
  </si>
  <si>
    <t>評価軸番号</t>
    <rPh sb="0" eb="2">
      <t>ヒョウカ</t>
    </rPh>
    <rPh sb="2" eb="3">
      <t>ジク</t>
    </rPh>
    <rPh sb="3" eb="5">
      <t>バンゴウ</t>
    </rPh>
    <phoneticPr fontId="3"/>
  </si>
  <si>
    <t>ID</t>
    <phoneticPr fontId="3"/>
  </si>
  <si>
    <t>平均値</t>
    <rPh sb="0" eb="3">
      <t>ヘイキンチ</t>
    </rPh>
    <phoneticPr fontId="3"/>
  </si>
  <si>
    <t>最大値</t>
    <rPh sb="0" eb="2">
      <t>サイダイ</t>
    </rPh>
    <rPh sb="2" eb="3">
      <t>アタイ</t>
    </rPh>
    <phoneticPr fontId="3"/>
  </si>
  <si>
    <t>最小値</t>
    <rPh sb="0" eb="3">
      <t>サイショウチ</t>
    </rPh>
    <phoneticPr fontId="3"/>
  </si>
  <si>
    <t>時刻</t>
    <rPh sb="0" eb="2">
      <t>ジコク</t>
    </rPh>
    <phoneticPr fontId="3"/>
  </si>
  <si>
    <t>CTRLを押しながら":"（コロン）</t>
    <rPh sb="5" eb="6">
      <t>オ</t>
    </rPh>
    <phoneticPr fontId="3"/>
  </si>
  <si>
    <t>1ヶ月の光熱費・ガソリン代(円）</t>
    <rPh sb="2" eb="3">
      <t>ゲツ</t>
    </rPh>
    <rPh sb="4" eb="7">
      <t>コウネツヒ</t>
    </rPh>
    <rPh sb="12" eb="13">
      <t>ダイ</t>
    </rPh>
    <rPh sb="14" eb="15">
      <t>エン</t>
    </rPh>
    <phoneticPr fontId="3"/>
  </si>
  <si>
    <t>数値を入力します</t>
    <rPh sb="0" eb="2">
      <t>スウチ</t>
    </rPh>
    <rPh sb="3" eb="5">
      <t>ニュウリョク</t>
    </rPh>
    <phoneticPr fontId="3"/>
  </si>
  <si>
    <t>記入</t>
    <rPh sb="0" eb="2">
      <t>キニュウ</t>
    </rPh>
    <phoneticPr fontId="3"/>
  </si>
  <si>
    <t>指定呼出ID</t>
    <rPh sb="0" eb="2">
      <t>シテイ</t>
    </rPh>
    <rPh sb="2" eb="3">
      <t>ヨ</t>
    </rPh>
    <rPh sb="3" eb="4">
      <t>ダ</t>
    </rPh>
    <phoneticPr fontId="3"/>
  </si>
  <si>
    <t>診断書ID</t>
    <rPh sb="0" eb="3">
      <t>シンダンショ</t>
    </rPh>
    <phoneticPr fontId="3"/>
  </si>
  <si>
    <t>診断モード</t>
    <rPh sb="0" eb="2">
      <t>シンダン</t>
    </rPh>
    <phoneticPr fontId="3"/>
  </si>
  <si>
    <t>エコライフチェック記入シート</t>
    <rPh sb="9" eb="11">
      <t>キニュウ</t>
    </rPh>
    <phoneticPr fontId="3"/>
  </si>
  <si>
    <t>電気</t>
    <rPh sb="0" eb="2">
      <t>デンキ</t>
    </rPh>
    <phoneticPr fontId="3"/>
  </si>
  <si>
    <t>ガス</t>
    <phoneticPr fontId="3"/>
  </si>
  <si>
    <t>灯油</t>
    <rPh sb="0" eb="2">
      <t>トウユ</t>
    </rPh>
    <phoneticPr fontId="3"/>
  </si>
  <si>
    <t>ガソリン</t>
    <phoneticPr fontId="3"/>
  </si>
  <si>
    <t>評価</t>
    <rPh sb="0" eb="2">
      <t>ヒョウカ</t>
    </rPh>
    <phoneticPr fontId="3"/>
  </si>
  <si>
    <t>標準の</t>
    <rPh sb="0" eb="2">
      <t>ヒョウジュン</t>
    </rPh>
    <phoneticPr fontId="3"/>
  </si>
  <si>
    <t>ガソリン</t>
    <phoneticPr fontId="3"/>
  </si>
  <si>
    <t>倍</t>
    <rPh sb="0" eb="1">
      <t>バイ</t>
    </rPh>
    <phoneticPr fontId="3"/>
  </si>
  <si>
    <t>エコライフチェック・初期条件設定シート</t>
    <rPh sb="10" eb="12">
      <t>ショキ</t>
    </rPh>
    <rPh sb="12" eb="14">
      <t>ジョウケン</t>
    </rPh>
    <rPh sb="14" eb="16">
      <t>セッテイ</t>
    </rPh>
    <phoneticPr fontId="3"/>
  </si>
  <si>
    <t>数値</t>
    <rPh sb="0" eb="2">
      <t>スウチ</t>
    </rPh>
    <phoneticPr fontId="3"/>
  </si>
  <si>
    <t>（３）取組項目設定</t>
    <rPh sb="3" eb="4">
      <t>ト</t>
    </rPh>
    <rPh sb="4" eb="5">
      <t>ク</t>
    </rPh>
    <rPh sb="5" eb="7">
      <t>コウモク</t>
    </rPh>
    <rPh sb="7" eb="9">
      <t>セッテイ</t>
    </rPh>
    <phoneticPr fontId="3"/>
  </si>
  <si>
    <t>※白色の欄に記入をすることができます。</t>
    <rPh sb="1" eb="2">
      <t>シロ</t>
    </rPh>
    <rPh sb="2" eb="3">
      <t>イロ</t>
    </rPh>
    <rPh sb="4" eb="5">
      <t>ラン</t>
    </rPh>
    <rPh sb="6" eb="8">
      <t>キニュウ</t>
    </rPh>
    <phoneticPr fontId="3"/>
  </si>
  <si>
    <t>※診断書の左上に、プログラム名として表示されます。</t>
    <rPh sb="1" eb="4">
      <t>シンダンショ</t>
    </rPh>
    <rPh sb="5" eb="7">
      <t>ヒダリウエ</t>
    </rPh>
    <rPh sb="14" eb="15">
      <t>メイ</t>
    </rPh>
    <rPh sb="18" eb="20">
      <t>ヒョウジ</t>
    </rPh>
    <phoneticPr fontId="3"/>
  </si>
  <si>
    <t>※診断書のレーダーチャート（蜘蛛の巣グラフ）の5つの評価軸です。</t>
    <rPh sb="1" eb="4">
      <t>シンダンショ</t>
    </rPh>
    <rPh sb="14" eb="16">
      <t>クモ</t>
    </rPh>
    <rPh sb="17" eb="18">
      <t>ス</t>
    </rPh>
    <rPh sb="26" eb="28">
      <t>ヒョウカ</t>
    </rPh>
    <rPh sb="28" eb="29">
      <t>ジク</t>
    </rPh>
    <phoneticPr fontId="3"/>
  </si>
  <si>
    <t>※取組みチェックをする項目を最大20個までと、それに対応する評価軸の番号を記入してください。</t>
    <rPh sb="1" eb="3">
      <t>トリク</t>
    </rPh>
    <rPh sb="11" eb="13">
      <t>コウモク</t>
    </rPh>
    <rPh sb="14" eb="16">
      <t>サイダイ</t>
    </rPh>
    <rPh sb="18" eb="19">
      <t>コ</t>
    </rPh>
    <rPh sb="26" eb="28">
      <t>タイオウ</t>
    </rPh>
    <rPh sb="30" eb="32">
      <t>ヒョウカ</t>
    </rPh>
    <rPh sb="32" eb="33">
      <t>ジク</t>
    </rPh>
    <rPh sb="34" eb="36">
      <t>バンゴウ</t>
    </rPh>
    <rPh sb="37" eb="39">
      <t>キニュウ</t>
    </rPh>
    <phoneticPr fontId="3"/>
  </si>
  <si>
    <t>ID</t>
    <phoneticPr fontId="3"/>
  </si>
  <si>
    <t>ガス</t>
    <phoneticPr fontId="3"/>
  </si>
  <si>
    <t>ガソリン</t>
    <phoneticPr fontId="3"/>
  </si>
  <si>
    <t>あなた</t>
    <phoneticPr fontId="3"/>
  </si>
  <si>
    <t>kg-CO2</t>
    <phoneticPr fontId="3"/>
  </si>
  <si>
    <t>電気代</t>
    <rPh sb="0" eb="3">
      <t>デンキダイ</t>
    </rPh>
    <phoneticPr fontId="3"/>
  </si>
  <si>
    <t>灯油代</t>
    <rPh sb="0" eb="2">
      <t>トウユ</t>
    </rPh>
    <rPh sb="2" eb="3">
      <t>ダイ</t>
    </rPh>
    <phoneticPr fontId="3"/>
  </si>
  <si>
    <t>ガソリン代</t>
    <rPh sb="4" eb="5">
      <t>ダイ</t>
    </rPh>
    <phoneticPr fontId="3"/>
  </si>
  <si>
    <t>一時処理</t>
    <rPh sb="0" eb="2">
      <t>イチジ</t>
    </rPh>
    <rPh sb="2" eb="4">
      <t>ショリ</t>
    </rPh>
    <phoneticPr fontId="3"/>
  </si>
  <si>
    <t>評価軸</t>
    <rPh sb="0" eb="2">
      <t>ヒョウカ</t>
    </rPh>
    <rPh sb="2" eb="3">
      <t>ジク</t>
    </rPh>
    <phoneticPr fontId="3"/>
  </si>
  <si>
    <t>（２）チェック項目評価</t>
    <rPh sb="7" eb="9">
      <t>コウモク</t>
    </rPh>
    <rPh sb="9" eb="11">
      <t>ヒョウカ</t>
    </rPh>
    <phoneticPr fontId="3"/>
  </si>
  <si>
    <t>電気</t>
    <rPh sb="0" eb="2">
      <t>デンキ</t>
    </rPh>
    <phoneticPr fontId="3"/>
  </si>
  <si>
    <t>灯油</t>
    <rPh sb="0" eb="2">
      <t>トウユ</t>
    </rPh>
    <phoneticPr fontId="3"/>
  </si>
  <si>
    <t>低いもの</t>
    <rPh sb="0" eb="1">
      <t>ヒク</t>
    </rPh>
    <phoneticPr fontId="3"/>
  </si>
  <si>
    <t>悪い項目</t>
    <rPh sb="0" eb="1">
      <t>ワル</t>
    </rPh>
    <rPh sb="2" eb="4">
      <t>コウモク</t>
    </rPh>
    <phoneticPr fontId="3"/>
  </si>
  <si>
    <t>■2番目の提案</t>
    <rPh sb="2" eb="4">
      <t>バンメ</t>
    </rPh>
    <rPh sb="5" eb="7">
      <t>テイアン</t>
    </rPh>
    <phoneticPr fontId="3"/>
  </si>
  <si>
    <t>電気</t>
    <rPh sb="0" eb="2">
      <t>デンキ</t>
    </rPh>
    <phoneticPr fontId="3"/>
  </si>
  <si>
    <t>灯油</t>
    <rPh sb="0" eb="2">
      <t>トウユ</t>
    </rPh>
    <phoneticPr fontId="3"/>
  </si>
  <si>
    <t>比率</t>
    <rPh sb="0" eb="2">
      <t>ヒリツ</t>
    </rPh>
    <phoneticPr fontId="3"/>
  </si>
  <si>
    <t>評価</t>
    <rPh sb="0" eb="2">
      <t>ヒョウカ</t>
    </rPh>
    <phoneticPr fontId="3"/>
  </si>
  <si>
    <t>基本</t>
    <rPh sb="0" eb="2">
      <t>キホン</t>
    </rPh>
    <phoneticPr fontId="3"/>
  </si>
  <si>
    <t>単価</t>
    <rPh sb="0" eb="2">
      <t>タンカ</t>
    </rPh>
    <phoneticPr fontId="3"/>
  </si>
  <si>
    <t>円</t>
    <rPh sb="0" eb="1">
      <t>エン</t>
    </rPh>
    <phoneticPr fontId="3"/>
  </si>
  <si>
    <t>基本</t>
    <rPh sb="0" eb="2">
      <t>キホン</t>
    </rPh>
    <phoneticPr fontId="3"/>
  </si>
  <si>
    <t>単価</t>
    <rPh sb="0" eb="2">
      <t>タンカ</t>
    </rPh>
    <phoneticPr fontId="3"/>
  </si>
  <si>
    <t>■CO2排出量の推計</t>
    <rPh sb="4" eb="7">
      <t>ハイシュツリョウ</t>
    </rPh>
    <rPh sb="8" eb="10">
      <t>スイケイ</t>
    </rPh>
    <phoneticPr fontId="3"/>
  </si>
  <si>
    <t>電気</t>
    <rPh sb="0" eb="2">
      <t>デンキ</t>
    </rPh>
    <phoneticPr fontId="3"/>
  </si>
  <si>
    <t>灯油</t>
    <rPh sb="0" eb="2">
      <t>トウユ</t>
    </rPh>
    <phoneticPr fontId="3"/>
  </si>
  <si>
    <t>合計</t>
    <rPh sb="0" eb="2">
      <t>ゴウケイ</t>
    </rPh>
    <phoneticPr fontId="3"/>
  </si>
  <si>
    <t>　このシートは、家庭のエコライフをサポートするためのツールです。
　家庭のエコライフの取組みや、光熱費を入力することで、右のような診断書が作成されます。環境にいい生活ができているのかどうか、ぜひチェックしてみてください。
　記入シートを配布して、グループとして取組むことが可能です。</t>
    <rPh sb="8" eb="10">
      <t>カテイ</t>
    </rPh>
    <rPh sb="34" eb="36">
      <t>カテイ</t>
    </rPh>
    <rPh sb="43" eb="45">
      <t>トリク</t>
    </rPh>
    <rPh sb="48" eb="51">
      <t>コウネツヒ</t>
    </rPh>
    <rPh sb="52" eb="54">
      <t>ニュウリョク</t>
    </rPh>
    <rPh sb="60" eb="61">
      <t>ミギ</t>
    </rPh>
    <rPh sb="65" eb="68">
      <t>シンダンショ</t>
    </rPh>
    <rPh sb="69" eb="71">
      <t>サクセイ</t>
    </rPh>
    <rPh sb="76" eb="78">
      <t>カンキョウ</t>
    </rPh>
    <rPh sb="81" eb="83">
      <t>セイカツ</t>
    </rPh>
    <rPh sb="112" eb="114">
      <t>キニュウ</t>
    </rPh>
    <rPh sb="118" eb="120">
      <t>ハイフ</t>
    </rPh>
    <rPh sb="130" eb="132">
      <t>トリク</t>
    </rPh>
    <rPh sb="136" eb="138">
      <t>カノウ</t>
    </rPh>
    <phoneticPr fontId="3"/>
  </si>
  <si>
    <t>★使い方</t>
    <rPh sb="1" eb="4">
      <t>ツカイカタ</t>
    </rPh>
    <phoneticPr fontId="3"/>
  </si>
  <si>
    <t>★概要</t>
    <rPh sb="1" eb="3">
      <t>ガイヨウ</t>
    </rPh>
    <phoneticPr fontId="3"/>
  </si>
  <si>
    <t>　自分の家庭で、エコライフがどのくらいできているのか、診断書を作成することができます。</t>
    <rPh sb="1" eb="3">
      <t>ジブン</t>
    </rPh>
    <rPh sb="4" eb="6">
      <t>カテイ</t>
    </rPh>
    <rPh sb="27" eb="30">
      <t>シンダンショ</t>
    </rPh>
    <rPh sb="31" eb="33">
      <t>サクセイ</t>
    </rPh>
    <phoneticPr fontId="3"/>
  </si>
  <si>
    <t>エコライフ診断　記入シート</t>
    <rPh sb="5" eb="7">
      <t>シンダン</t>
    </rPh>
    <rPh sb="8" eb="10">
      <t>キニュウ</t>
    </rPh>
    <phoneticPr fontId="3"/>
  </si>
  <si>
    <t>円</t>
    <rPh sb="0" eb="1">
      <t>エン</t>
    </rPh>
    <phoneticPr fontId="3"/>
  </si>
  <si>
    <t>ご記入ありがとうございました。</t>
    <rPh sb="0" eb="3">
      <t>ゴキニュウ</t>
    </rPh>
    <phoneticPr fontId="3"/>
  </si>
  <si>
    <t>★特徴</t>
    <rPh sb="1" eb="3">
      <t>トクチョウ</t>
    </rPh>
    <phoneticPr fontId="3"/>
  </si>
  <si>
    <t>・診断書で取組みのアドバイスが出てきます。</t>
    <rPh sb="1" eb="4">
      <t>シンダンショ</t>
    </rPh>
    <rPh sb="5" eb="7">
      <t>トリク</t>
    </rPh>
    <rPh sb="15" eb="16">
      <t>デ</t>
    </rPh>
    <phoneticPr fontId="3"/>
  </si>
  <si>
    <t>・チェック項目は最大20項目で、自由に変更できます。</t>
    <rPh sb="5" eb="7">
      <t>コウモク</t>
    </rPh>
    <rPh sb="8" eb="10">
      <t>サイダイ</t>
    </rPh>
    <rPh sb="12" eb="14">
      <t>コウモク</t>
    </rPh>
    <rPh sb="16" eb="18">
      <t>ジユウ</t>
    </rPh>
    <rPh sb="19" eb="21">
      <t>ヘンコウ</t>
    </rPh>
    <phoneticPr fontId="3"/>
  </si>
  <si>
    <t>・標準的家庭との比較により、消費量が多いか少ないか</t>
    <rPh sb="1" eb="4">
      <t>ヒョウジュンテキ</t>
    </rPh>
    <rPh sb="4" eb="6">
      <t>カテイ</t>
    </rPh>
    <rPh sb="8" eb="10">
      <t>ヒカク</t>
    </rPh>
    <rPh sb="14" eb="17">
      <t>ショウヒリョウ</t>
    </rPh>
    <rPh sb="18" eb="19">
      <t>オオ</t>
    </rPh>
    <rPh sb="21" eb="22">
      <t>スク</t>
    </rPh>
    <phoneticPr fontId="3"/>
  </si>
  <si>
    <t>　がわかります。</t>
    <phoneticPr fontId="3"/>
  </si>
  <si>
    <t>（１）初期設定</t>
    <rPh sb="3" eb="5">
      <t>ショキ</t>
    </rPh>
    <rPh sb="5" eb="7">
      <t>セッテイ</t>
    </rPh>
    <phoneticPr fontId="3"/>
  </si>
  <si>
    <t>（２）印刷用記入シート</t>
    <rPh sb="3" eb="5">
      <t>インサツ</t>
    </rPh>
    <rPh sb="5" eb="6">
      <t>ヨウ</t>
    </rPh>
    <rPh sb="6" eb="8">
      <t>キニュウ</t>
    </rPh>
    <phoneticPr fontId="3"/>
  </si>
  <si>
    <t>（３）入力シート</t>
    <rPh sb="3" eb="5">
      <t>ニュウリョク</t>
    </rPh>
    <phoneticPr fontId="3"/>
  </si>
  <si>
    <t>　印刷して、記入シートとして使います。</t>
    <rPh sb="1" eb="3">
      <t>インサツ</t>
    </rPh>
    <rPh sb="6" eb="8">
      <t>キニュウ</t>
    </rPh>
    <rPh sb="14" eb="15">
      <t>ツカ</t>
    </rPh>
    <phoneticPr fontId="3"/>
  </si>
  <si>
    <t>　記入シートを、1人1行で入力します。</t>
    <rPh sb="1" eb="3">
      <t>キニュウ</t>
    </rPh>
    <rPh sb="9" eb="10">
      <t>ニン</t>
    </rPh>
    <rPh sb="11" eb="12">
      <t>ギョウ</t>
    </rPh>
    <rPh sb="13" eb="15">
      <t>ニュウリョク</t>
    </rPh>
    <phoneticPr fontId="3"/>
  </si>
  <si>
    <t>（４）診断書作成</t>
    <rPh sb="3" eb="6">
      <t>シンダンショ</t>
    </rPh>
    <rPh sb="6" eb="8">
      <t>サクセイ</t>
    </rPh>
    <phoneticPr fontId="3"/>
  </si>
  <si>
    <t>　入力シートの診断モードが「自動最新」の場合には、最後に入力した人の分が、「診断書」シートに表示されます。
　「指定呼出」の場合には、呼出番号に指定した人が、「診断書」シートに表示されます。</t>
    <rPh sb="1" eb="3">
      <t>ニュウリョク</t>
    </rPh>
    <rPh sb="7" eb="9">
      <t>シンダン</t>
    </rPh>
    <rPh sb="14" eb="16">
      <t>ジドウ</t>
    </rPh>
    <rPh sb="16" eb="18">
      <t>サイシン</t>
    </rPh>
    <rPh sb="20" eb="22">
      <t>バアイ</t>
    </rPh>
    <rPh sb="25" eb="27">
      <t>サイゴ</t>
    </rPh>
    <rPh sb="28" eb="30">
      <t>ニュウリョク</t>
    </rPh>
    <rPh sb="32" eb="33">
      <t>ヒト</t>
    </rPh>
    <rPh sb="34" eb="35">
      <t>ブン</t>
    </rPh>
    <rPh sb="38" eb="41">
      <t>シンダンショ</t>
    </rPh>
    <rPh sb="46" eb="48">
      <t>ヒョウジ</t>
    </rPh>
    <rPh sb="56" eb="58">
      <t>シテイ</t>
    </rPh>
    <rPh sb="58" eb="60">
      <t>ヨビダシ</t>
    </rPh>
    <rPh sb="62" eb="64">
      <t>バアイ</t>
    </rPh>
    <rPh sb="67" eb="69">
      <t>ヨビダシ</t>
    </rPh>
    <rPh sb="69" eb="71">
      <t>バンゴウ</t>
    </rPh>
    <rPh sb="72" eb="74">
      <t>シテイ</t>
    </rPh>
    <rPh sb="76" eb="77">
      <t>ヒト</t>
    </rPh>
    <rPh sb="80" eb="83">
      <t>シンダンショ</t>
    </rPh>
    <rPh sb="88" eb="90">
      <t>ヒョウジ</t>
    </rPh>
    <phoneticPr fontId="3"/>
  </si>
  <si>
    <t>EXCEL97を使用していて、入力シートで「ウィンドウ枠の固定」を行うと、診断モードのプルダウンメニューが選択でき</t>
    <rPh sb="8" eb="10">
      <t>シヨウ</t>
    </rPh>
    <rPh sb="15" eb="17">
      <t>ニュウリョク</t>
    </rPh>
    <rPh sb="27" eb="28">
      <t>ワク</t>
    </rPh>
    <rPh sb="29" eb="31">
      <t>コテイ</t>
    </rPh>
    <rPh sb="33" eb="34">
      <t>オコナ</t>
    </rPh>
    <rPh sb="37" eb="39">
      <t>シンダン</t>
    </rPh>
    <rPh sb="53" eb="55">
      <t>センタク</t>
    </rPh>
    <phoneticPr fontId="3"/>
  </si>
  <si>
    <t>なくなります。これはEXCEL97の仕様であり、他のバージョンではうまく動きます。</t>
    <rPh sb="18" eb="20">
      <t>シヨウ</t>
    </rPh>
    <rPh sb="24" eb="25">
      <t>ホカ</t>
    </rPh>
    <rPh sb="36" eb="37">
      <t>ウゴ</t>
    </rPh>
    <phoneticPr fontId="3"/>
  </si>
  <si>
    <t>使用条件</t>
    <rPh sb="0" eb="2">
      <t>シヨウ</t>
    </rPh>
    <rPh sb="2" eb="4">
      <t>ジョウケン</t>
    </rPh>
    <phoneticPr fontId="3"/>
  </si>
  <si>
    <t>このソフトは、誰でも無条件で使用することができます。（商売をしても構いません）</t>
    <rPh sb="7" eb="8">
      <t>ダレ</t>
    </rPh>
    <rPh sb="10" eb="13">
      <t>ムジョウケン</t>
    </rPh>
    <rPh sb="14" eb="16">
      <t>シヨウ</t>
    </rPh>
    <rPh sb="27" eb="29">
      <t>ショウバイ</t>
    </rPh>
    <rPh sb="33" eb="34">
      <t>カマ</t>
    </rPh>
    <phoneticPr fontId="3"/>
  </si>
  <si>
    <t>・</t>
    <phoneticPr fontId="3"/>
  </si>
  <si>
    <t>ただし、ソフトを改変すること、他のソフトへ組み込むことは、禁止します。</t>
    <rPh sb="8" eb="10">
      <t>カイヘン</t>
    </rPh>
    <rPh sb="15" eb="16">
      <t>ホカ</t>
    </rPh>
    <rPh sb="21" eb="24">
      <t>クミコ</t>
    </rPh>
    <rPh sb="29" eb="31">
      <t>キンシ</t>
    </rPh>
    <phoneticPr fontId="3"/>
  </si>
  <si>
    <t>使用した旨（利用者数、改善要望点）などお送りいただけるとたすかります。</t>
    <rPh sb="0" eb="2">
      <t>シヨウ</t>
    </rPh>
    <rPh sb="4" eb="5">
      <t>ムネ</t>
    </rPh>
    <rPh sb="6" eb="9">
      <t>リヨウシャ</t>
    </rPh>
    <rPh sb="9" eb="10">
      <t>スウ</t>
    </rPh>
    <rPh sb="11" eb="13">
      <t>カイゼン</t>
    </rPh>
    <rPh sb="13" eb="15">
      <t>ヨウボウ</t>
    </rPh>
    <rPh sb="15" eb="16">
      <t>テン</t>
    </rPh>
    <rPh sb="19" eb="21">
      <t>オオク</t>
    </rPh>
    <phoneticPr fontId="3"/>
  </si>
  <si>
    <t>電気代</t>
    <rPh sb="0" eb="3">
      <t>デンキダイ</t>
    </rPh>
    <phoneticPr fontId="3"/>
  </si>
  <si>
    <t>灯油代</t>
    <rPh sb="0" eb="2">
      <t>トウユ</t>
    </rPh>
    <rPh sb="2" eb="3">
      <t>ダイ</t>
    </rPh>
    <phoneticPr fontId="3"/>
  </si>
  <si>
    <t>【3】あなたの家族人数と、お名前をご記入ください</t>
    <rPh sb="7" eb="9">
      <t>カゾク</t>
    </rPh>
    <rPh sb="9" eb="11">
      <t>ニンズウ</t>
    </rPh>
    <rPh sb="13" eb="16">
      <t>オナマエ</t>
    </rPh>
    <rPh sb="17" eb="20">
      <t>ゴキニュウ</t>
    </rPh>
    <phoneticPr fontId="3"/>
  </si>
  <si>
    <t>人数</t>
    <rPh sb="0" eb="2">
      <t>ニンズウ</t>
    </rPh>
    <phoneticPr fontId="3"/>
  </si>
  <si>
    <t>お名前</t>
    <rPh sb="0" eb="3">
      <t>オナマエ</t>
    </rPh>
    <phoneticPr fontId="3"/>
  </si>
  <si>
    <t>人</t>
    <rPh sb="0" eb="1">
      <t>ニン</t>
    </rPh>
    <phoneticPr fontId="3"/>
  </si>
  <si>
    <t>【2】一ヶ月のおおよその光熱費を記入してください。</t>
    <phoneticPr fontId="3"/>
  </si>
  <si>
    <t>【１】次の取組みができていますか？あてはまる番号に○をつけてください。</t>
    <rPh sb="3" eb="4">
      <t>ツギ</t>
    </rPh>
    <rPh sb="5" eb="7">
      <t>トリク</t>
    </rPh>
    <rPh sb="22" eb="24">
      <t>バンゴウ</t>
    </rPh>
    <phoneticPr fontId="3"/>
  </si>
  <si>
    <t>■個人呼び出し</t>
    <rPh sb="1" eb="3">
      <t>コジン</t>
    </rPh>
    <rPh sb="3" eb="4">
      <t>ヨ</t>
    </rPh>
    <rPh sb="5" eb="6">
      <t>ダ</t>
    </rPh>
    <phoneticPr fontId="3"/>
  </si>
  <si>
    <t>1ヶ月の光熱費・ガソリン代(円）</t>
    <rPh sb="2" eb="3">
      <t>ゲツ</t>
    </rPh>
    <rPh sb="4" eb="7">
      <t>コウネツヒ</t>
    </rPh>
    <rPh sb="12" eb="13">
      <t>ダイ</t>
    </rPh>
    <rPh sb="14" eb="15">
      <t>エン</t>
    </rPh>
    <phoneticPr fontId="3"/>
  </si>
  <si>
    <t>家族人数</t>
    <rPh sb="0" eb="2">
      <t>カゾク</t>
    </rPh>
    <rPh sb="2" eb="4">
      <t>ニンズウ</t>
    </rPh>
    <phoneticPr fontId="3"/>
  </si>
  <si>
    <t>（１）光熱費・CO2排出量評価</t>
    <rPh sb="3" eb="6">
      <t>コウネツヒ</t>
    </rPh>
    <rPh sb="10" eb="12">
      <t>ハイシュツ</t>
    </rPh>
    <rPh sb="12" eb="13">
      <t>リョウ</t>
    </rPh>
    <rPh sb="13" eb="15">
      <t>ヒョウカ</t>
    </rPh>
    <phoneticPr fontId="3"/>
  </si>
  <si>
    <t>■家族人数別の標準支出</t>
    <rPh sb="1" eb="3">
      <t>カゾク</t>
    </rPh>
    <rPh sb="3" eb="5">
      <t>ニンズウ</t>
    </rPh>
    <rPh sb="5" eb="6">
      <t>ベツ</t>
    </rPh>
    <rPh sb="7" eb="9">
      <t>ヒョウジュン</t>
    </rPh>
    <rPh sb="9" eb="11">
      <t>シシュツ</t>
    </rPh>
    <phoneticPr fontId="3"/>
  </si>
  <si>
    <t>平均点</t>
    <rPh sb="0" eb="3">
      <t>ヘイキンテン</t>
    </rPh>
    <phoneticPr fontId="3"/>
  </si>
  <si>
    <t>よい項目</t>
    <rPh sb="2" eb="4">
      <t>コウモク</t>
    </rPh>
    <phoneticPr fontId="3"/>
  </si>
  <si>
    <t>■1番目の提案</t>
    <rPh sb="2" eb="4">
      <t>バンメ</t>
    </rPh>
    <rPh sb="5" eb="7">
      <t>テイアン</t>
    </rPh>
    <phoneticPr fontId="3"/>
  </si>
  <si>
    <t>■標準値との比較</t>
    <rPh sb="1" eb="4">
      <t>ヒョウジュンチ</t>
    </rPh>
    <rPh sb="6" eb="8">
      <t>ヒカク</t>
    </rPh>
    <phoneticPr fontId="3"/>
  </si>
  <si>
    <t>円</t>
    <rPh sb="0" eb="1">
      <t>エン</t>
    </rPh>
    <phoneticPr fontId="3"/>
  </si>
  <si>
    <t>ガス代</t>
  </si>
  <si>
    <t>ガス代</t>
    <rPh sb="2" eb="3">
      <t>ダイ</t>
    </rPh>
    <phoneticPr fontId="3"/>
  </si>
  <si>
    <t>都市ガス</t>
    <rPh sb="0" eb="2">
      <t>トシ</t>
    </rPh>
    <phoneticPr fontId="3"/>
  </si>
  <si>
    <t>LPガス</t>
    <phoneticPr fontId="3"/>
  </si>
  <si>
    <t>都市ガス代</t>
    <rPh sb="0" eb="2">
      <t>トシ</t>
    </rPh>
    <rPh sb="4" eb="5">
      <t>ダイ</t>
    </rPh>
    <phoneticPr fontId="3"/>
  </si>
  <si>
    <t>LPガス代</t>
    <rPh sb="4" eb="5">
      <t>ダイ</t>
    </rPh>
    <phoneticPr fontId="3"/>
  </si>
  <si>
    <t>電気</t>
    <rPh sb="0" eb="2">
      <t>デンキ</t>
    </rPh>
    <phoneticPr fontId="3"/>
  </si>
  <si>
    <t>都市ガス</t>
    <rPh sb="0" eb="2">
      <t>トシ</t>
    </rPh>
    <phoneticPr fontId="3"/>
  </si>
  <si>
    <t>（４）価格設定</t>
    <rPh sb="3" eb="5">
      <t>カカク</t>
    </rPh>
    <rPh sb="5" eb="7">
      <t>セッテイ</t>
    </rPh>
    <phoneticPr fontId="3"/>
  </si>
  <si>
    <t>最大</t>
    <rPh sb="0" eb="2">
      <t>サイダイ</t>
    </rPh>
    <phoneticPr fontId="3"/>
  </si>
  <si>
    <t>■電気代から消費量の算出</t>
    <rPh sb="1" eb="4">
      <t>デンキダイ</t>
    </rPh>
    <rPh sb="6" eb="9">
      <t>ショウヒリョウ</t>
    </rPh>
    <rPh sb="10" eb="12">
      <t>サンシュツ</t>
    </rPh>
    <phoneticPr fontId="3"/>
  </si>
  <si>
    <t>■都市ガス代からの消費量算出</t>
    <rPh sb="1" eb="3">
      <t>トシ</t>
    </rPh>
    <rPh sb="5" eb="6">
      <t>ダイ</t>
    </rPh>
    <rPh sb="9" eb="12">
      <t>ショウヒリョウ</t>
    </rPh>
    <rPh sb="12" eb="14">
      <t>サンシュツ</t>
    </rPh>
    <phoneticPr fontId="3"/>
  </si>
  <si>
    <t>■LPガス代からの消費量算出</t>
    <rPh sb="5" eb="6">
      <t>ダイ</t>
    </rPh>
    <rPh sb="9" eb="12">
      <t>ショウヒリョウ</t>
    </rPh>
    <rPh sb="12" eb="14">
      <t>サンシュツ</t>
    </rPh>
    <phoneticPr fontId="3"/>
  </si>
  <si>
    <r>
      <t>単価</t>
    </r>
    <r>
      <rPr>
        <sz val="8"/>
        <rFont val="ＭＳ Ｐゴシック"/>
        <family val="3"/>
        <charset val="128"/>
      </rPr>
      <t>（円/単位）</t>
    </r>
    <rPh sb="0" eb="2">
      <t>タンカ</t>
    </rPh>
    <rPh sb="3" eb="4">
      <t>エン</t>
    </rPh>
    <rPh sb="5" eb="7">
      <t>タンイ</t>
    </rPh>
    <phoneticPr fontId="3"/>
  </si>
  <si>
    <r>
      <t>範囲最大</t>
    </r>
    <r>
      <rPr>
        <sz val="8"/>
        <rFont val="ＭＳ Ｐゴシック"/>
        <family val="3"/>
        <charset val="128"/>
      </rPr>
      <t>（単位）</t>
    </r>
    <rPh sb="0" eb="2">
      <t>ハンイ</t>
    </rPh>
    <rPh sb="2" eb="4">
      <t>サイダイ</t>
    </rPh>
    <rPh sb="5" eb="7">
      <t>タンイ</t>
    </rPh>
    <phoneticPr fontId="3"/>
  </si>
  <si>
    <t>最大kWh</t>
    <rPh sb="0" eb="2">
      <t>サイダイ</t>
    </rPh>
    <phoneticPr fontId="3"/>
  </si>
  <si>
    <t>最大m3</t>
    <rPh sb="0" eb="2">
      <t>サイダイ</t>
    </rPh>
    <phoneticPr fontId="3"/>
  </si>
  <si>
    <t>最大m3</t>
    <rPh sb="0" eb="2">
      <t>サイダイ</t>
    </rPh>
    <phoneticPr fontId="3"/>
  </si>
  <si>
    <t>最大金額</t>
    <rPh sb="0" eb="2">
      <t>サイダイ</t>
    </rPh>
    <rPh sb="2" eb="4">
      <t>キンガク</t>
    </rPh>
    <phoneticPr fontId="3"/>
  </si>
  <si>
    <t>（５）CO2係数設定</t>
    <rPh sb="6" eb="8">
      <t>ケイスウ</t>
    </rPh>
    <rPh sb="8" eb="10">
      <t>セッテイ</t>
    </rPh>
    <phoneticPr fontId="3"/>
  </si>
  <si>
    <t>kg/kWh</t>
    <phoneticPr fontId="3"/>
  </si>
  <si>
    <t>kg/m3</t>
    <phoneticPr fontId="3"/>
  </si>
  <si>
    <t>kg/L</t>
    <phoneticPr fontId="3"/>
  </si>
  <si>
    <t>（６）地域設定</t>
    <rPh sb="3" eb="5">
      <t>チイキ</t>
    </rPh>
    <rPh sb="5" eb="7">
      <t>セッテイ</t>
    </rPh>
    <phoneticPr fontId="3"/>
  </si>
  <si>
    <t>仮計算</t>
    <rPh sb="0" eb="1">
      <t>カリ</t>
    </rPh>
    <rPh sb="1" eb="3">
      <t>ケイサン</t>
    </rPh>
    <phoneticPr fontId="3"/>
  </si>
  <si>
    <t>札幌市</t>
  </si>
  <si>
    <t>青森市</t>
  </si>
  <si>
    <t>盛岡市</t>
  </si>
  <si>
    <t>仙台市</t>
  </si>
  <si>
    <t>秋田市</t>
  </si>
  <si>
    <t>山形市</t>
  </si>
  <si>
    <t>福島市</t>
  </si>
  <si>
    <t>水戸市</t>
  </si>
  <si>
    <t>宇都宮市</t>
  </si>
  <si>
    <t>前橋市</t>
  </si>
  <si>
    <t>さいたま市</t>
  </si>
  <si>
    <t>千葉市</t>
  </si>
  <si>
    <t>東京都区部</t>
  </si>
  <si>
    <t>横浜市</t>
  </si>
  <si>
    <t>川崎市</t>
  </si>
  <si>
    <t>新潟市</t>
  </si>
  <si>
    <t>富山市</t>
  </si>
  <si>
    <t>金沢市</t>
  </si>
  <si>
    <t>福井市</t>
  </si>
  <si>
    <t>甲府市</t>
  </si>
  <si>
    <t>長野市</t>
  </si>
  <si>
    <t>岐阜市</t>
  </si>
  <si>
    <t>静岡市</t>
  </si>
  <si>
    <t>名古屋市</t>
  </si>
  <si>
    <t>津市</t>
  </si>
  <si>
    <t>大津市</t>
  </si>
  <si>
    <t>京都市</t>
  </si>
  <si>
    <t>大阪市</t>
  </si>
  <si>
    <t>神戸市</t>
  </si>
  <si>
    <t>奈良市</t>
  </si>
  <si>
    <t>和歌山市</t>
  </si>
  <si>
    <t>鳥取市</t>
  </si>
  <si>
    <t>松江市</t>
  </si>
  <si>
    <t>岡山市</t>
  </si>
  <si>
    <t>広島市</t>
  </si>
  <si>
    <t>山口市</t>
  </si>
  <si>
    <t>徳島市</t>
  </si>
  <si>
    <t>高松市</t>
  </si>
  <si>
    <t>松山市</t>
  </si>
  <si>
    <t>高知市</t>
  </si>
  <si>
    <t>北九州市</t>
  </si>
  <si>
    <t>福岡市</t>
  </si>
  <si>
    <t>佐賀市</t>
  </si>
  <si>
    <t>長崎市</t>
  </si>
  <si>
    <t>熊本市</t>
  </si>
  <si>
    <t>大分市</t>
  </si>
  <si>
    <t>宮崎市</t>
  </si>
  <si>
    <t>鹿児島市</t>
  </si>
  <si>
    <t>那覇市</t>
  </si>
  <si>
    <t>電気代</t>
  </si>
  <si>
    <t>水道代</t>
  </si>
  <si>
    <t>灯油代</t>
  </si>
  <si>
    <t>ガソリン代</t>
  </si>
  <si>
    <t>全国平均</t>
  </si>
  <si>
    <t>全国比</t>
    <rPh sb="0" eb="3">
      <t>ゼンコクヒ</t>
    </rPh>
    <phoneticPr fontId="3"/>
  </si>
  <si>
    <t>■地域比率</t>
    <rPh sb="1" eb="3">
      <t>チイキ</t>
    </rPh>
    <rPh sb="3" eb="5">
      <t>ヒリツ</t>
    </rPh>
    <phoneticPr fontId="3"/>
  </si>
  <si>
    <t>※地域補正後</t>
    <rPh sb="1" eb="3">
      <t>チイキ</t>
    </rPh>
    <rPh sb="3" eb="6">
      <t>ホセイゴ</t>
    </rPh>
    <phoneticPr fontId="3"/>
  </si>
  <si>
    <t>※地域ごとに、標準的光熱費が変わります。</t>
    <rPh sb="1" eb="3">
      <t>チイキ</t>
    </rPh>
    <rPh sb="7" eb="10">
      <t>ヒョウジュンテキ</t>
    </rPh>
    <rPh sb="10" eb="13">
      <t>コウネツヒ</t>
    </rPh>
    <rPh sb="14" eb="15">
      <t>カ</t>
    </rPh>
    <phoneticPr fontId="3"/>
  </si>
  <si>
    <t>※電力会社ごとに、CO2係数が違います。</t>
    <rPh sb="1" eb="3">
      <t>デンリョク</t>
    </rPh>
    <rPh sb="3" eb="5">
      <t>ガイシャ</t>
    </rPh>
    <rPh sb="12" eb="14">
      <t>ケイスウ</t>
    </rPh>
    <rPh sb="15" eb="16">
      <t>チガ</t>
    </rPh>
    <phoneticPr fontId="3"/>
  </si>
  <si>
    <t>・全国の都市の標準消費量をデータとして持っているため</t>
    <rPh sb="1" eb="3">
      <t>ゼンコク</t>
    </rPh>
    <rPh sb="4" eb="6">
      <t>トシ</t>
    </rPh>
    <rPh sb="7" eb="9">
      <t>ヒョウジュン</t>
    </rPh>
    <rPh sb="9" eb="12">
      <t>ショウヒリョウ</t>
    </rPh>
    <rPh sb="19" eb="20">
      <t>モ</t>
    </rPh>
    <phoneticPr fontId="3"/>
  </si>
  <si>
    <t>　各地域での診断に対応できます。</t>
    <rPh sb="1" eb="2">
      <t>カク</t>
    </rPh>
    <rPh sb="2" eb="4">
      <t>チイキ</t>
    </rPh>
    <rPh sb="6" eb="8">
      <t>シンダン</t>
    </rPh>
    <rPh sb="9" eb="11">
      <t>タイオウ</t>
    </rPh>
    <phoneticPr fontId="3"/>
  </si>
  <si>
    <t>エネルギー消費量については、値段からの逆算を行っていますので、値の正確性を保証するものではありません。</t>
    <rPh sb="5" eb="8">
      <t>ショウヒリョウ</t>
    </rPh>
    <rPh sb="14" eb="16">
      <t>ネダン</t>
    </rPh>
    <rPh sb="19" eb="21">
      <t>ギャクサン</t>
    </rPh>
    <rPh sb="22" eb="23">
      <t>オコナ</t>
    </rPh>
    <rPh sb="31" eb="32">
      <t>アタイ</t>
    </rPh>
    <rPh sb="33" eb="36">
      <t>セイカクセイ</t>
    </rPh>
    <rPh sb="37" eb="39">
      <t>ホショウ</t>
    </rPh>
    <phoneticPr fontId="3"/>
  </si>
  <si>
    <t>わかっている問題</t>
    <rPh sb="6" eb="8">
      <t>モンダイ</t>
    </rPh>
    <phoneticPr fontId="3"/>
  </si>
  <si>
    <t>　プログラム名、評価軸、チェック項目、地域等を記入します。</t>
    <rPh sb="6" eb="7">
      <t>メイ</t>
    </rPh>
    <rPh sb="8" eb="10">
      <t>ヒョウカ</t>
    </rPh>
    <rPh sb="10" eb="11">
      <t>ジク</t>
    </rPh>
    <rPh sb="16" eb="18">
      <t>コウモク</t>
    </rPh>
    <rPh sb="19" eb="21">
      <t>チイキ</t>
    </rPh>
    <rPh sb="21" eb="22">
      <t>トウ</t>
    </rPh>
    <rPh sb="23" eb="25">
      <t>キニュウ</t>
    </rPh>
    <phoneticPr fontId="3"/>
  </si>
  <si>
    <t>　電気・ガスについては、価格から消費量を算出する係数を設定</t>
    <rPh sb="1" eb="3">
      <t>デンキ</t>
    </rPh>
    <rPh sb="12" eb="14">
      <t>カカク</t>
    </rPh>
    <rPh sb="16" eb="19">
      <t>ショウヒリョウ</t>
    </rPh>
    <rPh sb="20" eb="22">
      <t>サンシュツ</t>
    </rPh>
    <rPh sb="24" eb="26">
      <t>ケイスウ</t>
    </rPh>
    <rPh sb="27" eb="29">
      <t>セッテイ</t>
    </rPh>
    <phoneticPr fontId="3"/>
  </si>
  <si>
    <t>　します。</t>
    <phoneticPr fontId="3"/>
  </si>
  <si>
    <t>選択肢</t>
    <rPh sb="0" eb="3">
      <t>センタクシ</t>
    </rPh>
    <phoneticPr fontId="3"/>
  </si>
  <si>
    <t>（２）評価軸・選択肢</t>
    <rPh sb="3" eb="5">
      <t>ヒョウカ</t>
    </rPh>
    <rPh sb="5" eb="6">
      <t>ジク</t>
    </rPh>
    <rPh sb="7" eb="10">
      <t>センタクシ</t>
    </rPh>
    <phoneticPr fontId="3"/>
  </si>
  <si>
    <t>選択肢表記</t>
    <rPh sb="0" eb="3">
      <t>センタクシ</t>
    </rPh>
    <rPh sb="3" eb="5">
      <t>ヒョウキ</t>
    </rPh>
    <phoneticPr fontId="3"/>
  </si>
  <si>
    <t>半分くらい</t>
    <rPh sb="0" eb="2">
      <t>ハンブン</t>
    </rPh>
    <phoneticPr fontId="3"/>
  </si>
  <si>
    <t>できていない</t>
  </si>
  <si>
    <t>持っていない・関係ない</t>
    <rPh sb="0" eb="1">
      <t>モ</t>
    </rPh>
    <rPh sb="7" eb="9">
      <t>カンケイ</t>
    </rPh>
    <phoneticPr fontId="3"/>
  </si>
  <si>
    <t>少しできている</t>
    <rPh sb="0" eb="1">
      <t>スコ</t>
    </rPh>
    <phoneticPr fontId="3"/>
  </si>
  <si>
    <t>よくできている</t>
    <phoneticPr fontId="3"/>
  </si>
  <si>
    <t>できている</t>
    <phoneticPr fontId="3"/>
  </si>
  <si>
    <t>あまりできていない</t>
    <phoneticPr fontId="3"/>
  </si>
  <si>
    <t>できていない</t>
    <phoneticPr fontId="3"/>
  </si>
  <si>
    <t>名前</t>
    <rPh sb="0" eb="2">
      <t>ナマエ</t>
    </rPh>
    <phoneticPr fontId="3"/>
  </si>
  <si>
    <t>評価段階数</t>
    <rPh sb="0" eb="2">
      <t>ヒョウカ</t>
    </rPh>
    <rPh sb="2" eb="4">
      <t>ダンカイ</t>
    </rPh>
    <rPh sb="4" eb="5">
      <t>スウ</t>
    </rPh>
    <phoneticPr fontId="3"/>
  </si>
  <si>
    <t>「関係ない」
の振替</t>
    <rPh sb="1" eb="3">
      <t>カンケイ</t>
    </rPh>
    <rPh sb="8" eb="10">
      <t>フリカエ</t>
    </rPh>
    <phoneticPr fontId="3"/>
  </si>
  <si>
    <t>集計レポート</t>
    <rPh sb="0" eb="2">
      <t>シュウケイ</t>
    </rPh>
    <phoneticPr fontId="3"/>
  </si>
  <si>
    <t>平均点</t>
    <rPh sb="0" eb="3">
      <t>ヘイキンテン</t>
    </rPh>
    <phoneticPr fontId="3"/>
  </si>
  <si>
    <t>■取り組みチェック</t>
    <rPh sb="1" eb="2">
      <t>ト</t>
    </rPh>
    <rPh sb="3" eb="4">
      <t>ク</t>
    </rPh>
    <phoneticPr fontId="3"/>
  </si>
  <si>
    <t>できている</t>
  </si>
  <si>
    <t>軸</t>
    <rPh sb="0" eb="1">
      <t>ジク</t>
    </rPh>
    <phoneticPr fontId="3"/>
  </si>
  <si>
    <t>（７）グラフ平均表示</t>
    <rPh sb="6" eb="8">
      <t>ヘイキン</t>
    </rPh>
    <rPh sb="8" eb="10">
      <t>ヒョウジ</t>
    </rPh>
    <phoneticPr fontId="3"/>
  </si>
  <si>
    <t>※取り組みグラフに記入者の平均を表示する</t>
    <rPh sb="1" eb="2">
      <t>ト</t>
    </rPh>
    <rPh sb="3" eb="4">
      <t>ク</t>
    </rPh>
    <rPh sb="9" eb="11">
      <t>キニュウ</t>
    </rPh>
    <rPh sb="11" eb="12">
      <t>シャ</t>
    </rPh>
    <rPh sb="13" eb="15">
      <t>ヘイキン</t>
    </rPh>
    <rPh sb="16" eb="18">
      <t>ヒョウジ</t>
    </rPh>
    <phoneticPr fontId="3"/>
  </si>
  <si>
    <t>表示する</t>
    <rPh sb="0" eb="2">
      <t>ヒョウジ</t>
    </rPh>
    <phoneticPr fontId="3"/>
  </si>
  <si>
    <t>表示しない</t>
    <rPh sb="0" eb="2">
      <t>ヒョウジ</t>
    </rPh>
    <phoneticPr fontId="3"/>
  </si>
  <si>
    <t>標準値</t>
    <rPh sb="0" eb="3">
      <t>ヒョウジュンチ</t>
    </rPh>
    <phoneticPr fontId="3"/>
  </si>
  <si>
    <t>■平均光熱費</t>
    <rPh sb="1" eb="3">
      <t>ヘイキン</t>
    </rPh>
    <rPh sb="3" eb="6">
      <t>コウネツヒ</t>
    </rPh>
    <phoneticPr fontId="3"/>
  </si>
  <si>
    <t>1人世帯</t>
    <rPh sb="1" eb="2">
      <t>ニン</t>
    </rPh>
    <rPh sb="2" eb="4">
      <t>セタイ</t>
    </rPh>
    <phoneticPr fontId="3"/>
  </si>
  <si>
    <t>2人世帯</t>
    <rPh sb="1" eb="2">
      <t>ニン</t>
    </rPh>
    <rPh sb="2" eb="4">
      <t>セタイ</t>
    </rPh>
    <phoneticPr fontId="3"/>
  </si>
  <si>
    <t>3人世帯</t>
    <rPh sb="1" eb="2">
      <t>ニン</t>
    </rPh>
    <rPh sb="2" eb="4">
      <t>セタイ</t>
    </rPh>
    <phoneticPr fontId="3"/>
  </si>
  <si>
    <t>4人世帯</t>
    <rPh sb="1" eb="2">
      <t>ニン</t>
    </rPh>
    <rPh sb="2" eb="4">
      <t>セタイ</t>
    </rPh>
    <phoneticPr fontId="3"/>
  </si>
  <si>
    <t>5人世帯</t>
    <rPh sb="1" eb="2">
      <t>ニン</t>
    </rPh>
    <rPh sb="2" eb="4">
      <t>セタイ</t>
    </rPh>
    <phoneticPr fontId="3"/>
  </si>
  <si>
    <t>6人世帯</t>
    <rPh sb="1" eb="2">
      <t>ニン</t>
    </rPh>
    <rPh sb="2" eb="4">
      <t>セタイ</t>
    </rPh>
    <phoneticPr fontId="3"/>
  </si>
  <si>
    <t>世帯人数別光熱費（円/月）</t>
    <rPh sb="0" eb="2">
      <t>セタイ</t>
    </rPh>
    <rPh sb="2" eb="4">
      <t>ニンズウ</t>
    </rPh>
    <rPh sb="4" eb="5">
      <t>ベツ</t>
    </rPh>
    <rPh sb="5" eb="8">
      <t>コウネツヒ</t>
    </rPh>
    <rPh sb="9" eb="10">
      <t>エン</t>
    </rPh>
    <rPh sb="11" eb="12">
      <t>ツキ</t>
    </rPh>
    <phoneticPr fontId="3"/>
  </si>
  <si>
    <t>都市ガス代</t>
    <rPh sb="0" eb="2">
      <t>トシ</t>
    </rPh>
    <rPh sb="4" eb="5">
      <t>ダイ</t>
    </rPh>
    <phoneticPr fontId="3"/>
  </si>
  <si>
    <t>LPガス代</t>
    <rPh sb="4" eb="5">
      <t>ダイ</t>
    </rPh>
    <phoneticPr fontId="3"/>
  </si>
  <si>
    <t>合計</t>
    <rPh sb="0" eb="2">
      <t>ゴウケイ</t>
    </rPh>
    <phoneticPr fontId="3"/>
  </si>
  <si>
    <t>■記入世帯数</t>
    <rPh sb="1" eb="3">
      <t>キニュウ</t>
    </rPh>
    <rPh sb="3" eb="5">
      <t>セタイ</t>
    </rPh>
    <rPh sb="5" eb="6">
      <t>スウ</t>
    </rPh>
    <phoneticPr fontId="3"/>
  </si>
  <si>
    <t>世帯数</t>
    <rPh sb="0" eb="3">
      <t>セタイスウ</t>
    </rPh>
    <phoneticPr fontId="3"/>
  </si>
  <si>
    <t>平均光熱費
（円/月）</t>
    <rPh sb="0" eb="2">
      <t>ヘイキン</t>
    </rPh>
    <rPh sb="2" eb="5">
      <t>コウネツヒ</t>
    </rPh>
    <rPh sb="7" eb="8">
      <t>エン</t>
    </rPh>
    <rPh sb="9" eb="10">
      <t>ツキ</t>
    </rPh>
    <phoneticPr fontId="3"/>
  </si>
  <si>
    <t>回答人数（人）</t>
    <rPh sb="0" eb="2">
      <t>カイトウ</t>
    </rPh>
    <rPh sb="2" eb="4">
      <t>ニンズウ</t>
    </rPh>
    <rPh sb="5" eb="6">
      <t>ニン</t>
    </rPh>
    <phoneticPr fontId="3"/>
  </si>
  <si>
    <t>100点満点換算</t>
    <rPh sb="3" eb="4">
      <t>テン</t>
    </rPh>
    <rPh sb="4" eb="6">
      <t>マンテン</t>
    </rPh>
    <rPh sb="6" eb="8">
      <t>カンサン</t>
    </rPh>
    <phoneticPr fontId="3"/>
  </si>
  <si>
    <t>オール電化</t>
    <rPh sb="3" eb="5">
      <t>デンカ</t>
    </rPh>
    <phoneticPr fontId="3"/>
  </si>
  <si>
    <t>オール電化なら1</t>
    <phoneticPr fontId="3"/>
  </si>
  <si>
    <t>1/空白</t>
    <rPh sb="2" eb="4">
      <t>クウハク</t>
    </rPh>
    <phoneticPr fontId="3"/>
  </si>
  <si>
    <r>
      <t>※電気温水器とecoキュートの中間　</t>
    </r>
    <r>
      <rPr>
        <sz val="11"/>
        <rFont val="ＭＳ Ｐゴシック"/>
        <family val="3"/>
        <charset val="128"/>
      </rPr>
      <t>360kWh給湯・355kWhほか（うち3割夜間）</t>
    </r>
    <rPh sb="1" eb="3">
      <t>デンキ</t>
    </rPh>
    <rPh sb="3" eb="6">
      <t>オンスイキ</t>
    </rPh>
    <rPh sb="15" eb="17">
      <t>チュウカン</t>
    </rPh>
    <rPh sb="24" eb="26">
      <t>キュウトウ</t>
    </rPh>
    <rPh sb="39" eb="40">
      <t>ワリ</t>
    </rPh>
    <rPh sb="40" eb="42">
      <t>ヤカン</t>
    </rPh>
    <phoneticPr fontId="3"/>
  </si>
  <si>
    <t>はい・いいえ</t>
    <phoneticPr fontId="3"/>
  </si>
  <si>
    <t xml:space="preserve">
</t>
    <phoneticPr fontId="3"/>
  </si>
  <si>
    <t>あなた</t>
    <phoneticPr fontId="3"/>
  </si>
  <si>
    <t xml:space="preserve"> </t>
    <phoneticPr fontId="3"/>
  </si>
  <si>
    <t>環境省「地球温暖化対策の推進に関する法律施行令」</t>
    <phoneticPr fontId="3"/>
  </si>
  <si>
    <t>日本 LP ガス協会「プロパン、ブタン、LPガスのCO2 排出原単位に係るガイドライン」</t>
    <phoneticPr fontId="3"/>
  </si>
  <si>
    <t>都市部</t>
    <rPh sb="0" eb="3">
      <t>トシブ</t>
    </rPh>
    <phoneticPr fontId="3"/>
  </si>
  <si>
    <t>郊外</t>
    <rPh sb="0" eb="2">
      <t>コウガイ</t>
    </rPh>
    <phoneticPr fontId="3"/>
  </si>
  <si>
    <t>はい　・　いいえ</t>
    <phoneticPr fontId="3"/>
  </si>
  <si>
    <t>【4】鉄道やバスを利用しやすい地域ですか</t>
    <rPh sb="3" eb="5">
      <t>テツドウ</t>
    </rPh>
    <rPh sb="9" eb="11">
      <t>リヨウ</t>
    </rPh>
    <rPh sb="15" eb="17">
      <t>チイキ</t>
    </rPh>
    <phoneticPr fontId="3"/>
  </si>
  <si>
    <t>2001～2007年の平均</t>
    <rPh sb="9" eb="10">
      <t>ネン</t>
    </rPh>
    <rPh sb="11" eb="13">
      <t>ヘイキン</t>
    </rPh>
    <phoneticPr fontId="3"/>
  </si>
  <si>
    <t>当時単価</t>
    <rPh sb="0" eb="2">
      <t>トウジ</t>
    </rPh>
    <rPh sb="2" eb="4">
      <t>タンカ</t>
    </rPh>
    <phoneticPr fontId="3"/>
  </si>
  <si>
    <r>
      <t>※平成1</t>
    </r>
    <r>
      <rPr>
        <sz val="11"/>
        <rFont val="ＭＳ Ｐゴシック"/>
        <family val="3"/>
        <charset val="128"/>
      </rPr>
      <t>3</t>
    </r>
    <r>
      <rPr>
        <sz val="11"/>
        <rFont val="ＭＳ Ｐゴシック"/>
        <family val="3"/>
        <charset val="128"/>
      </rPr>
      <t>～</t>
    </r>
    <r>
      <rPr>
        <sz val="11"/>
        <rFont val="ＭＳ Ｐゴシック"/>
        <family val="3"/>
        <charset val="128"/>
      </rPr>
      <t>19</t>
    </r>
    <r>
      <rPr>
        <sz val="11"/>
        <rFont val="ＭＳ Ｐゴシック"/>
        <family val="3"/>
        <charset val="128"/>
      </rPr>
      <t>年の平均（家計調査）</t>
    </r>
    <rPh sb="1" eb="3">
      <t>ヘイセイ</t>
    </rPh>
    <rPh sb="8" eb="9">
      <t>ネン</t>
    </rPh>
    <rPh sb="10" eb="12">
      <t>ヘイキン</t>
    </rPh>
    <rPh sb="13" eb="15">
      <t>カケイ</t>
    </rPh>
    <rPh sb="15" eb="17">
      <t>チョウサ</t>
    </rPh>
    <phoneticPr fontId="3"/>
  </si>
  <si>
    <t>■都市部郊外比率</t>
    <rPh sb="1" eb="4">
      <t>トシブ</t>
    </rPh>
    <rPh sb="4" eb="6">
      <t>コウガイ</t>
    </rPh>
    <rPh sb="6" eb="8">
      <t>ヒリツ</t>
    </rPh>
    <phoneticPr fontId="3"/>
  </si>
  <si>
    <t>郊外補正</t>
    <rPh sb="0" eb="2">
      <t>コウガイ</t>
    </rPh>
    <rPh sb="2" eb="4">
      <t>ホセイ</t>
    </rPh>
    <phoneticPr fontId="3"/>
  </si>
  <si>
    <t>※2011年9月修正（うちエコと同じにする）</t>
    <rPh sb="5" eb="6">
      <t>ネン</t>
    </rPh>
    <rPh sb="7" eb="8">
      <t>ガツ</t>
    </rPh>
    <rPh sb="8" eb="10">
      <t>シュウセイ</t>
    </rPh>
    <rPh sb="16" eb="17">
      <t>オナ</t>
    </rPh>
    <phoneticPr fontId="3"/>
  </si>
  <si>
    <t>■オール電化の推計</t>
    <rPh sb="4" eb="6">
      <t>デンカ</t>
    </rPh>
    <rPh sb="7" eb="9">
      <t>スイケイ</t>
    </rPh>
    <phoneticPr fontId="3"/>
  </si>
  <si>
    <t>あなた</t>
    <phoneticPr fontId="3"/>
  </si>
  <si>
    <t>平均</t>
    <rPh sb="0" eb="2">
      <t>ヘイキン</t>
    </rPh>
    <phoneticPr fontId="3"/>
  </si>
  <si>
    <r>
      <t>※価格補正（都市ガスは補正なし） 電気は</t>
    </r>
    <r>
      <rPr>
        <sz val="11"/>
        <rFont val="ＭＳ Ｐゴシック"/>
        <family val="3"/>
        <charset val="128"/>
      </rPr>
      <t>400kWhとして単価比較</t>
    </r>
    <rPh sb="1" eb="3">
      <t>カカク</t>
    </rPh>
    <rPh sb="3" eb="5">
      <t>ホセイ</t>
    </rPh>
    <rPh sb="6" eb="8">
      <t>トシ</t>
    </rPh>
    <rPh sb="11" eb="13">
      <t>ホセイ</t>
    </rPh>
    <rPh sb="17" eb="19">
      <t>デンキ</t>
    </rPh>
    <rPh sb="29" eb="31">
      <t>タンカ</t>
    </rPh>
    <rPh sb="31" eb="33">
      <t>ヒカク</t>
    </rPh>
    <phoneticPr fontId="3"/>
  </si>
  <si>
    <r>
      <t>m</t>
    </r>
    <r>
      <rPr>
        <sz val="11"/>
        <rFont val="ＭＳ Ｐゴシック"/>
        <family val="3"/>
        <charset val="128"/>
      </rPr>
      <t>3</t>
    </r>
    <phoneticPr fontId="3"/>
  </si>
  <si>
    <r>
      <t>k</t>
    </r>
    <r>
      <rPr>
        <sz val="11"/>
        <rFont val="ＭＳ Ｐゴシック"/>
        <family val="3"/>
        <charset val="128"/>
      </rPr>
      <t>cal/月</t>
    </r>
    <rPh sb="5" eb="6">
      <t>ツキ</t>
    </rPh>
    <phoneticPr fontId="3"/>
  </si>
  <si>
    <r>
      <t>k</t>
    </r>
    <r>
      <rPr>
        <sz val="11"/>
        <rFont val="ＭＳ Ｐゴシック"/>
        <family val="3"/>
        <charset val="128"/>
      </rPr>
      <t>Wh/月</t>
    </r>
    <rPh sb="4" eb="5">
      <t>ツキ</t>
    </rPh>
    <phoneticPr fontId="3"/>
  </si>
  <si>
    <t>電気換算</t>
    <rPh sb="0" eb="2">
      <t>デンキ</t>
    </rPh>
    <rPh sb="2" eb="4">
      <t>カンサン</t>
    </rPh>
    <phoneticPr fontId="3"/>
  </si>
  <si>
    <t>円/月</t>
    <rPh sb="0" eb="1">
      <t>エン</t>
    </rPh>
    <rPh sb="2" eb="3">
      <t>ツキ</t>
    </rPh>
    <phoneticPr fontId="3"/>
  </si>
  <si>
    <t>電気代換算</t>
    <rPh sb="0" eb="3">
      <t>デンキダイ</t>
    </rPh>
    <rPh sb="3" eb="5">
      <t>カンサン</t>
    </rPh>
    <phoneticPr fontId="3"/>
  </si>
  <si>
    <t>※オール電化の場合には、電気＋LPガスとして集計</t>
    <rPh sb="4" eb="6">
      <t>デンカ</t>
    </rPh>
    <rPh sb="7" eb="9">
      <t>バアイ</t>
    </rPh>
    <rPh sb="12" eb="14">
      <t>デンキ</t>
    </rPh>
    <rPh sb="22" eb="24">
      <t>シュウケイ</t>
    </rPh>
    <phoneticPr fontId="3"/>
  </si>
  <si>
    <t>もとの電気の消費量</t>
    <rPh sb="3" eb="5">
      <t>デンキ</t>
    </rPh>
    <rPh sb="6" eb="9">
      <t>ショウヒリョウ</t>
    </rPh>
    <phoneticPr fontId="3"/>
  </si>
  <si>
    <t>もとの電気代</t>
    <rPh sb="3" eb="5">
      <t>デンキ</t>
    </rPh>
    <rPh sb="5" eb="6">
      <t>ダイ</t>
    </rPh>
    <phoneticPr fontId="3"/>
  </si>
  <si>
    <r>
      <t>k</t>
    </r>
    <r>
      <rPr>
        <sz val="11"/>
        <rFont val="ＭＳ Ｐゴシック"/>
        <family val="3"/>
        <charset val="128"/>
      </rPr>
      <t>Wh/月</t>
    </r>
    <rPh sb="4" eb="5">
      <t>ツキ</t>
    </rPh>
    <phoneticPr fontId="3"/>
  </si>
  <si>
    <t>円</t>
    <rPh sb="0" eb="1">
      <t>エン</t>
    </rPh>
    <phoneticPr fontId="3"/>
  </si>
  <si>
    <t>■オール電化世帯</t>
    <rPh sb="4" eb="6">
      <t>デンカ</t>
    </rPh>
    <rPh sb="6" eb="8">
      <t>セタイ</t>
    </rPh>
    <phoneticPr fontId="3"/>
  </si>
  <si>
    <t>■都市部郊外別</t>
    <rPh sb="1" eb="4">
      <t>トシブ</t>
    </rPh>
    <rPh sb="4" eb="6">
      <t>コウガイ</t>
    </rPh>
    <rPh sb="6" eb="7">
      <t>ベツ</t>
    </rPh>
    <phoneticPr fontId="3"/>
  </si>
  <si>
    <t>オール電化世帯</t>
    <rPh sb="3" eb="5">
      <t>デンカ</t>
    </rPh>
    <rPh sb="5" eb="7">
      <t>セタイ</t>
    </rPh>
    <phoneticPr fontId="3"/>
  </si>
  <si>
    <t>ガス併用世帯</t>
    <rPh sb="2" eb="4">
      <t>ヘイヨウ</t>
    </rPh>
    <rPh sb="4" eb="6">
      <t>セタイ</t>
    </rPh>
    <phoneticPr fontId="3"/>
  </si>
  <si>
    <t>1はい
2いいえ</t>
    <phoneticPr fontId="3"/>
  </si>
  <si>
    <t>鉄道バスを使いやすい</t>
    <rPh sb="0" eb="2">
      <t>テツドウ</t>
    </rPh>
    <rPh sb="5" eb="6">
      <t>ツカ</t>
    </rPh>
    <phoneticPr fontId="3"/>
  </si>
  <si>
    <t>※白色の欄に記入をすることができます。列の挿入・削除は行わないでください。</t>
    <rPh sb="19" eb="20">
      <t>レツ</t>
    </rPh>
    <rPh sb="21" eb="23">
      <t>ソウニュウ</t>
    </rPh>
    <rPh sb="24" eb="26">
      <t>サクジョ</t>
    </rPh>
    <rPh sb="27" eb="28">
      <t>オコナ</t>
    </rPh>
    <phoneticPr fontId="3"/>
  </si>
  <si>
    <t>全国</t>
  </si>
  <si>
    <t>現在単価</t>
    <rPh sb="0" eb="2">
      <t>ゲンザイ</t>
    </rPh>
    <rPh sb="2" eb="4">
      <t>タンカ</t>
    </rPh>
    <phoneticPr fontId="3"/>
  </si>
  <si>
    <t>マージナル係数</t>
    <rPh sb="5" eb="7">
      <t>ケイスウ</t>
    </rPh>
    <phoneticPr fontId="3"/>
  </si>
  <si>
    <t>範囲2</t>
    <rPh sb="0" eb="2">
      <t>ハンイ</t>
    </rPh>
    <phoneticPr fontId="3"/>
  </si>
  <si>
    <t>LPガス基本</t>
    <rPh sb="4" eb="6">
      <t>キホン</t>
    </rPh>
    <phoneticPr fontId="3"/>
  </si>
  <si>
    <t>LPガス単価</t>
    <rPh sb="4" eb="6">
      <t>タンカ</t>
    </rPh>
    <phoneticPr fontId="3"/>
  </si>
  <si>
    <t>ガスの消費量を算出する。旧単価をもとに</t>
    <rPh sb="3" eb="6">
      <t>ショウヒリョウ</t>
    </rPh>
    <rPh sb="7" eb="9">
      <t>サンシュツ</t>
    </rPh>
    <rPh sb="12" eb="13">
      <t>キュウ</t>
    </rPh>
    <rPh sb="13" eb="15">
      <t>タンカ</t>
    </rPh>
    <phoneticPr fontId="3"/>
  </si>
  <si>
    <t>ガスの消費量分を、夜間契約電気代換算</t>
    <rPh sb="9" eb="11">
      <t>ヤカン</t>
    </rPh>
    <rPh sb="11" eb="13">
      <t>ケイヤク</t>
    </rPh>
    <rPh sb="13" eb="16">
      <t>デンキダイ</t>
    </rPh>
    <rPh sb="16" eb="18">
      <t>カンサン</t>
    </rPh>
    <phoneticPr fontId="3"/>
  </si>
  <si>
    <t>※オール電化はエネルギー量ベース補正、給湯＋電気の2割が夜間</t>
    <rPh sb="4" eb="6">
      <t>デンカ</t>
    </rPh>
    <rPh sb="12" eb="13">
      <t>リョウ</t>
    </rPh>
    <rPh sb="16" eb="18">
      <t>ホセイ</t>
    </rPh>
    <rPh sb="19" eb="21">
      <t>キュウトウ</t>
    </rPh>
    <rPh sb="22" eb="24">
      <t>デンキ</t>
    </rPh>
    <rPh sb="26" eb="27">
      <t>ワリ</t>
    </rPh>
    <rPh sb="28" eb="30">
      <t>ヤカン</t>
    </rPh>
    <phoneticPr fontId="3"/>
  </si>
  <si>
    <t>夜間電気の単価</t>
    <rPh sb="5" eb="7">
      <t>タンカ</t>
    </rPh>
    <phoneticPr fontId="3"/>
  </si>
  <si>
    <t>通常契約の単価との比率</t>
    <rPh sb="0" eb="4">
      <t>ツウジョウケイヤク</t>
    </rPh>
    <rPh sb="9" eb="11">
      <t>ヒリツ</t>
    </rPh>
    <phoneticPr fontId="3"/>
  </si>
  <si>
    <t>夜間契約の基本料金</t>
    <rPh sb="5" eb="9">
      <t>キホンリョウキン</t>
    </rPh>
    <phoneticPr fontId="3"/>
  </si>
  <si>
    <t>範囲2：120～300kWh</t>
    <rPh sb="0" eb="2">
      <t>ハンイ</t>
    </rPh>
    <phoneticPr fontId="4"/>
  </si>
  <si>
    <t>範囲3：300kWh以上</t>
    <rPh sb="0" eb="2">
      <t>ハンイ</t>
    </rPh>
    <rPh sb="10" eb="12">
      <t>イジョウ</t>
    </rPh>
    <phoneticPr fontId="4"/>
  </si>
  <si>
    <t>範囲2：20～50m3</t>
    <rPh sb="0" eb="2">
      <t>ハンイ</t>
    </rPh>
    <phoneticPr fontId="4"/>
  </si>
  <si>
    <t>範囲3：50m3以上</t>
    <rPh sb="0" eb="2">
      <t>ハンイ</t>
    </rPh>
    <rPh sb="8" eb="10">
      <t>イジョウ</t>
    </rPh>
    <phoneticPr fontId="4"/>
  </si>
  <si>
    <t>範囲1：</t>
    <rPh sb="0" eb="2">
      <t>ハンイ</t>
    </rPh>
    <phoneticPr fontId="4"/>
  </si>
  <si>
    <r>
      <t>基本料金</t>
    </r>
    <r>
      <rPr>
        <sz val="8"/>
        <rFont val="ＭＳ Ｐゴシック"/>
        <family val="3"/>
        <charset val="128"/>
      </rPr>
      <t>（円）</t>
    </r>
    <rPh sb="0" eb="4">
      <t>キホンリョウキン</t>
    </rPh>
    <rPh sb="5" eb="6">
      <t>エン</t>
    </rPh>
    <phoneticPr fontId="3"/>
  </si>
  <si>
    <t>（単位kWh)</t>
    <rPh sb="1" eb="3">
      <t>タンイ</t>
    </rPh>
    <phoneticPr fontId="3"/>
  </si>
  <si>
    <t>（単位　m3)</t>
    <rPh sb="1" eb="3">
      <t>タンイ</t>
    </rPh>
    <phoneticPr fontId="3"/>
  </si>
  <si>
    <t>灯油（単位L)</t>
    <rPh sb="0" eb="2">
      <t>トウユ</t>
    </rPh>
    <rPh sb="3" eb="5">
      <t>タンイ</t>
    </rPh>
    <phoneticPr fontId="3"/>
  </si>
  <si>
    <t>ガソリン（単位L)</t>
    <rPh sb="5" eb="7">
      <t>タンイ</t>
    </rPh>
    <phoneticPr fontId="3"/>
  </si>
  <si>
    <r>
      <t>従量電灯Bの場合、</t>
    </r>
    <r>
      <rPr>
        <sz val="11"/>
        <rFont val="ＭＳ Ｐゴシック"/>
        <family val="3"/>
        <charset val="128"/>
      </rPr>
      <t>4</t>
    </r>
    <r>
      <rPr>
        <sz val="11"/>
        <rFont val="ＭＳ Ｐゴシック"/>
        <family val="3"/>
        <charset val="128"/>
      </rPr>
      <t>000円まで20A、</t>
    </r>
    <r>
      <rPr>
        <sz val="11"/>
        <rFont val="ＭＳ Ｐゴシック"/>
        <family val="3"/>
        <charset val="128"/>
      </rPr>
      <t>2万で60A</t>
    </r>
    <rPh sb="0" eb="4">
      <t>ジュウリョウデントウ</t>
    </rPh>
    <rPh sb="6" eb="8">
      <t>バアイ</t>
    </rPh>
    <rPh sb="13" eb="14">
      <t>エン</t>
    </rPh>
    <rPh sb="21" eb="22">
      <t>マン</t>
    </rPh>
    <phoneticPr fontId="3"/>
  </si>
  <si>
    <t>10Aあたりの基本料金　（従量電灯Bの場合記入）</t>
    <rPh sb="7" eb="11">
      <t>キホンリョウキン</t>
    </rPh>
    <rPh sb="13" eb="17">
      <t>ジュウリョウデントウ</t>
    </rPh>
    <rPh sb="19" eb="21">
      <t>バアイ</t>
    </rPh>
    <rPh sb="21" eb="23">
      <t>キニュウ</t>
    </rPh>
    <phoneticPr fontId="4"/>
  </si>
  <si>
    <t>最低料金　（従量電灯A　関西・中国・四国・沖縄電力の場合記入）</t>
    <rPh sb="0" eb="2">
      <t>サイテイ</t>
    </rPh>
    <rPh sb="2" eb="4">
      <t>リョウキン</t>
    </rPh>
    <rPh sb="6" eb="10">
      <t>ジュウリョウデントウ</t>
    </rPh>
    <rPh sb="12" eb="14">
      <t>カンサイ</t>
    </rPh>
    <rPh sb="15" eb="17">
      <t>チュウゴク</t>
    </rPh>
    <rPh sb="18" eb="20">
      <t>シコク</t>
    </rPh>
    <rPh sb="21" eb="23">
      <t>オキナワ</t>
    </rPh>
    <rPh sb="23" eb="25">
      <t>デンリョク</t>
    </rPh>
    <rPh sb="26" eb="28">
      <t>バアイ</t>
    </rPh>
    <rPh sb="28" eb="30">
      <t>キニュウ</t>
    </rPh>
    <phoneticPr fontId="3"/>
  </si>
  <si>
    <r>
      <t>min(6,</t>
    </r>
    <r>
      <rPr>
        <sz val="11"/>
        <rFont val="ＭＳ Ｐゴシック"/>
        <family val="3"/>
        <charset val="128"/>
      </rPr>
      <t>1+</t>
    </r>
    <r>
      <rPr>
        <sz val="11"/>
        <rFont val="ＭＳ Ｐゴシック"/>
        <family val="3"/>
        <charset val="128"/>
      </rPr>
      <t>int</t>
    </r>
    <r>
      <rPr>
        <sz val="11"/>
        <rFont val="ＭＳ Ｐゴシック"/>
        <family val="3"/>
        <charset val="128"/>
      </rPr>
      <t>（</t>
    </r>
    <r>
      <rPr>
        <sz val="11"/>
        <rFont val="ＭＳ Ｐゴシック"/>
        <family val="3"/>
        <charset val="128"/>
      </rPr>
      <t>(</t>
    </r>
    <r>
      <rPr>
        <sz val="11"/>
        <rFont val="ＭＳ Ｐゴシック"/>
        <family val="3"/>
        <charset val="128"/>
      </rPr>
      <t>金額</t>
    </r>
    <r>
      <rPr>
        <sz val="11"/>
        <rFont val="ＭＳ Ｐゴシック"/>
        <family val="3"/>
        <charset val="128"/>
      </rPr>
      <t>+2000)</t>
    </r>
    <r>
      <rPr>
        <sz val="11"/>
        <rFont val="ＭＳ Ｐゴシック"/>
        <family val="3"/>
        <charset val="128"/>
      </rPr>
      <t>÷</t>
    </r>
    <r>
      <rPr>
        <sz val="11"/>
        <rFont val="ＭＳ Ｐゴシック"/>
        <family val="3"/>
        <charset val="128"/>
      </rPr>
      <t>4</t>
    </r>
    <r>
      <rPr>
        <sz val="11"/>
        <rFont val="ＭＳ Ｐゴシック"/>
        <family val="3"/>
        <charset val="128"/>
      </rPr>
      <t>000）</t>
    </r>
    <r>
      <rPr>
        <sz val="11"/>
        <rFont val="ＭＳ Ｐゴシック"/>
        <family val="3"/>
        <charset val="128"/>
      </rPr>
      <t>)</t>
    </r>
    <rPh sb="13" eb="15">
      <t>キンガク</t>
    </rPh>
    <phoneticPr fontId="3"/>
  </si>
  <si>
    <t>(有)ひのでやエコライフ研究所（http://www.hinodeya-ecolife.com） 2006-2015</t>
    <rPh sb="0" eb="3">
      <t>ユウ</t>
    </rPh>
    <rPh sb="12" eb="15">
      <t>ケンキュウジョ</t>
    </rPh>
    <phoneticPr fontId="3"/>
  </si>
  <si>
    <t>うちエコ2015</t>
    <phoneticPr fontId="3"/>
  </si>
  <si>
    <t>※価格設定が大きく変わる場合、地域が変更される場合には、料金体系をみて変更してください。</t>
    <rPh sb="1" eb="3">
      <t>カカク</t>
    </rPh>
    <rPh sb="3" eb="5">
      <t>セッテイ</t>
    </rPh>
    <rPh sb="6" eb="7">
      <t>オオ</t>
    </rPh>
    <rPh sb="9" eb="10">
      <t>カ</t>
    </rPh>
    <rPh sb="12" eb="14">
      <t>バアイ</t>
    </rPh>
    <rPh sb="15" eb="17">
      <t>チイキ</t>
    </rPh>
    <rPh sb="18" eb="20">
      <t>ヘンコウ</t>
    </rPh>
    <rPh sb="23" eb="25">
      <t>バアイ</t>
    </rPh>
    <rPh sb="28" eb="32">
      <t>リョウキンタイケイ</t>
    </rPh>
    <rPh sb="35" eb="37">
      <t>ヘンコウ</t>
    </rPh>
    <phoneticPr fontId="3"/>
  </si>
  <si>
    <t>※関西電力など、従量電灯Aの場合、最低料金を設定してください。10Aあたりには記入しないでください。</t>
    <rPh sb="1" eb="3">
      <t>カンサイ</t>
    </rPh>
    <rPh sb="3" eb="5">
      <t>デンリョク</t>
    </rPh>
    <rPh sb="8" eb="12">
      <t>ジュウリョウデントウ</t>
    </rPh>
    <rPh sb="14" eb="16">
      <t>バアイ</t>
    </rPh>
    <rPh sb="17" eb="19">
      <t>サイテイ</t>
    </rPh>
    <rPh sb="19" eb="21">
      <t>リョウキン</t>
    </rPh>
    <rPh sb="22" eb="24">
      <t>セッテイ</t>
    </rPh>
    <rPh sb="39" eb="41">
      <t>キニュウ</t>
    </rPh>
    <phoneticPr fontId="3"/>
  </si>
  <si>
    <t>※東京電力など、従量電灯Bの場合、契約アンペア10Aあたりの基本料金を設定してください。</t>
    <rPh sb="1" eb="3">
      <t>トウキョウ</t>
    </rPh>
    <rPh sb="3" eb="5">
      <t>デンリョク</t>
    </rPh>
    <rPh sb="8" eb="12">
      <t>ジュウリョウデントウ</t>
    </rPh>
    <rPh sb="14" eb="16">
      <t>バアイ</t>
    </rPh>
    <rPh sb="17" eb="19">
      <t>ケイヤク</t>
    </rPh>
    <rPh sb="30" eb="32">
      <t>キホン</t>
    </rPh>
    <rPh sb="32" eb="34">
      <t>リョウキン</t>
    </rPh>
    <rPh sb="35" eb="37">
      <t>セッテイ</t>
    </rPh>
    <phoneticPr fontId="3"/>
  </si>
  <si>
    <t>※電気・ガスの消費量範囲は、少ない順に並べ、F列に各範囲の最大消費量を記載します。</t>
    <rPh sb="1" eb="3">
      <t>デンキ</t>
    </rPh>
    <rPh sb="7" eb="10">
      <t>ショウヒリョウ</t>
    </rPh>
    <rPh sb="10" eb="12">
      <t>ハンイ</t>
    </rPh>
    <rPh sb="14" eb="15">
      <t>スク</t>
    </rPh>
    <rPh sb="17" eb="18">
      <t>ジュン</t>
    </rPh>
    <rPh sb="19" eb="20">
      <t>ナラ</t>
    </rPh>
    <rPh sb="23" eb="24">
      <t>レツ</t>
    </rPh>
    <rPh sb="25" eb="26">
      <t>カク</t>
    </rPh>
    <rPh sb="26" eb="28">
      <t>ハンイ</t>
    </rPh>
    <rPh sb="29" eb="31">
      <t>サイダイ</t>
    </rPh>
    <rPh sb="31" eb="34">
      <t>ショウヒリョウ</t>
    </rPh>
    <rPh sb="35" eb="37">
      <t>キサイ</t>
    </rPh>
    <phoneticPr fontId="3"/>
  </si>
  <si>
    <t>範囲1：15～120kWh　関西電力2015年7月</t>
    <rPh sb="0" eb="2">
      <t>ハンイ</t>
    </rPh>
    <rPh sb="14" eb="18">
      <t>カンサイデンリョク</t>
    </rPh>
    <rPh sb="22" eb="23">
      <t>ネン</t>
    </rPh>
    <rPh sb="24" eb="25">
      <t>ガツ</t>
    </rPh>
    <phoneticPr fontId="4"/>
  </si>
  <si>
    <t>範囲1：20m3未満　　　大阪ガス2017年6月</t>
    <rPh sb="0" eb="2">
      <t>ハンイ</t>
    </rPh>
    <rPh sb="8" eb="10">
      <t>ミマン</t>
    </rPh>
    <rPh sb="13" eb="15">
      <t>オオサカ</t>
    </rPh>
    <rPh sb="21" eb="22">
      <t>ネン</t>
    </rPh>
    <rPh sb="23" eb="24">
      <t>ガツ</t>
    </rPh>
    <phoneticPr fontId="4"/>
  </si>
  <si>
    <t>燃料調整費 2017年6月 ＋再生可能ネルギー促進負担金</t>
    <rPh sb="0" eb="5">
      <t>ネンリョウチョウセイヒ</t>
    </rPh>
    <rPh sb="10" eb="11">
      <t>ネン</t>
    </rPh>
    <rPh sb="12" eb="13">
      <t>ガツ</t>
    </rPh>
    <phoneticPr fontId="3"/>
  </si>
  <si>
    <t>（1）呼び出し方法設定</t>
    <rPh sb="3" eb="4">
      <t>ヨ</t>
    </rPh>
    <rPh sb="5" eb="6">
      <t>ダ</t>
    </rPh>
    <rPh sb="7" eb="9">
      <t>ホウホウ</t>
    </rPh>
    <rPh sb="9" eb="11">
      <t>セッテイ</t>
    </rPh>
    <phoneticPr fontId="3"/>
  </si>
  <si>
    <t>（2）集計欄</t>
    <rPh sb="3" eb="5">
      <t>シュウケイ</t>
    </rPh>
    <rPh sb="5" eb="6">
      <t>ラン</t>
    </rPh>
    <phoneticPr fontId="3"/>
  </si>
  <si>
    <t>（２）入力欄</t>
    <rPh sb="3" eb="5">
      <t>ニュウリョク</t>
    </rPh>
    <rPh sb="5" eb="6">
      <t>ラン</t>
    </rPh>
    <phoneticPr fontId="3"/>
  </si>
  <si>
    <t>住んでいる家は</t>
    <rPh sb="0" eb="1">
      <t>ス</t>
    </rPh>
    <rPh sb="5" eb="6">
      <t>イエ</t>
    </rPh>
    <phoneticPr fontId="3"/>
  </si>
  <si>
    <t>1一戸建て、2集合、3マンション</t>
    <rPh sb="1" eb="3">
      <t>イッコ</t>
    </rPh>
    <rPh sb="3" eb="4">
      <t>ダ</t>
    </rPh>
    <rPh sb="7" eb="9">
      <t>シュウゴウ</t>
    </rPh>
    <phoneticPr fontId="3"/>
  </si>
  <si>
    <t>10年以上使っている機器</t>
    <rPh sb="2" eb="3">
      <t>ネン</t>
    </rPh>
    <rPh sb="3" eb="5">
      <t>イジョウ</t>
    </rPh>
    <rPh sb="5" eb="6">
      <t>ツカ</t>
    </rPh>
    <rPh sb="10" eb="12">
      <t>キキ</t>
    </rPh>
    <phoneticPr fontId="3"/>
  </si>
  <si>
    <t>エアコン</t>
  </si>
  <si>
    <t>エアコン</t>
    <phoneticPr fontId="3"/>
  </si>
  <si>
    <t>冷蔵庫</t>
    <rPh sb="0" eb="3">
      <t>レイゾウコ</t>
    </rPh>
    <phoneticPr fontId="3"/>
  </si>
  <si>
    <t>照明器具</t>
    <rPh sb="0" eb="2">
      <t>ショウメイ</t>
    </rPh>
    <rPh sb="2" eb="4">
      <t>キグ</t>
    </rPh>
    <phoneticPr fontId="3"/>
  </si>
  <si>
    <t>テレビ</t>
  </si>
  <si>
    <t>テレビ</t>
    <phoneticPr fontId="3"/>
  </si>
  <si>
    <t>給湯器</t>
    <rPh sb="0" eb="3">
      <t>キュウトウキ</t>
    </rPh>
    <phoneticPr fontId="3"/>
  </si>
  <si>
    <t>シャワー</t>
  </si>
  <si>
    <t>シャワー</t>
    <phoneticPr fontId="3"/>
  </si>
  <si>
    <t>車</t>
    <rPh sb="0" eb="1">
      <t>クルマ</t>
    </rPh>
    <phoneticPr fontId="3"/>
  </si>
  <si>
    <t>給湯</t>
    <rPh sb="0" eb="2">
      <t>キュウトウ</t>
    </rPh>
    <phoneticPr fontId="3"/>
  </si>
  <si>
    <t>該当するなら1/ないなら空白</t>
    <rPh sb="0" eb="2">
      <t>ガイトウ</t>
    </rPh>
    <rPh sb="12" eb="14">
      <t>クウハク</t>
    </rPh>
    <phoneticPr fontId="3"/>
  </si>
  <si>
    <t>COOL CHOICE 診断書</t>
    <rPh sb="12" eb="15">
      <t>シンダンショ</t>
    </rPh>
    <phoneticPr fontId="3"/>
  </si>
  <si>
    <t>1から4の数字を入力します。</t>
    <phoneticPr fontId="3"/>
  </si>
  <si>
    <t>CO2排出の少ない暖房器具を選んで使う</t>
    <rPh sb="3" eb="5">
      <t>ハイシュツ</t>
    </rPh>
    <rPh sb="6" eb="7">
      <t>スク</t>
    </rPh>
    <rPh sb="9" eb="11">
      <t>ダンボウ</t>
    </rPh>
    <rPh sb="11" eb="13">
      <t>キグ</t>
    </rPh>
    <rPh sb="14" eb="15">
      <t>エラ</t>
    </rPh>
    <rPh sb="17" eb="18">
      <t>ツカ</t>
    </rPh>
    <phoneticPr fontId="3"/>
  </si>
  <si>
    <t>複層ガラス化や内窓など窓の断熱リフォームをする</t>
    <rPh sb="0" eb="2">
      <t>フクソウ</t>
    </rPh>
    <rPh sb="5" eb="6">
      <t>カ</t>
    </rPh>
    <rPh sb="7" eb="9">
      <t>ウチマド</t>
    </rPh>
    <rPh sb="11" eb="12">
      <t>マド</t>
    </rPh>
    <rPh sb="13" eb="15">
      <t>ダンネツ</t>
    </rPh>
    <phoneticPr fontId="4"/>
  </si>
  <si>
    <t>エアコンのフィルター掃除などメンテナンスをする</t>
    <rPh sb="10" eb="12">
      <t>ソウジ</t>
    </rPh>
    <phoneticPr fontId="3"/>
  </si>
  <si>
    <t>冷蔵庫を1台にする</t>
    <rPh sb="0" eb="3">
      <t>レイゾウコ</t>
    </rPh>
    <rPh sb="5" eb="6">
      <t>ダイ</t>
    </rPh>
    <phoneticPr fontId="3"/>
  </si>
  <si>
    <t>すべての部屋の照明をLEDにする</t>
    <rPh sb="4" eb="6">
      <t>ヘヤ</t>
    </rPh>
    <rPh sb="7" eb="9">
      <t>ショウメイ</t>
    </rPh>
    <phoneticPr fontId="3"/>
  </si>
  <si>
    <t>テレビや冷蔵庫、便座など、省エネ設定にして使う</t>
    <rPh sb="4" eb="7">
      <t>レイゾウコ</t>
    </rPh>
    <rPh sb="8" eb="10">
      <t>ベンザ</t>
    </rPh>
    <rPh sb="13" eb="14">
      <t>ショウ</t>
    </rPh>
    <rPh sb="16" eb="18">
      <t>セッテイ</t>
    </rPh>
    <rPh sb="21" eb="22">
      <t>ツカ</t>
    </rPh>
    <phoneticPr fontId="3"/>
  </si>
  <si>
    <t>季節によって、湯張り温度や量を調整する</t>
    <rPh sb="0" eb="2">
      <t>キセツ</t>
    </rPh>
    <rPh sb="7" eb="8">
      <t>ユ</t>
    </rPh>
    <rPh sb="8" eb="9">
      <t>ハリ</t>
    </rPh>
    <rPh sb="10" eb="12">
      <t>オンド</t>
    </rPh>
    <rPh sb="13" eb="14">
      <t>リョウ</t>
    </rPh>
    <rPh sb="15" eb="17">
      <t>チョウセイ</t>
    </rPh>
    <phoneticPr fontId="4"/>
  </si>
  <si>
    <t>お風呂の給湯器を高効率型にする</t>
    <rPh sb="1" eb="3">
      <t>フロ</t>
    </rPh>
    <rPh sb="4" eb="7">
      <t>キュウトウキ</t>
    </rPh>
    <rPh sb="8" eb="11">
      <t>コウコウリツ</t>
    </rPh>
    <rPh sb="11" eb="12">
      <t>ガタ</t>
    </rPh>
    <phoneticPr fontId="4"/>
  </si>
  <si>
    <t>節水シャワーヘッドをとりつけて利用する</t>
    <rPh sb="0" eb="2">
      <t>セッスイ</t>
    </rPh>
    <rPh sb="15" eb="17">
      <t>リヨウ</t>
    </rPh>
    <phoneticPr fontId="4"/>
  </si>
  <si>
    <t>なるべく公共交通を使ったり、自転車や徒歩にする</t>
    <rPh sb="4" eb="6">
      <t>コウキョウ</t>
    </rPh>
    <rPh sb="6" eb="8">
      <t>コウツウ</t>
    </rPh>
    <rPh sb="9" eb="10">
      <t>ツカ</t>
    </rPh>
    <rPh sb="14" eb="17">
      <t>ジテンシャ</t>
    </rPh>
    <rPh sb="18" eb="20">
      <t>トホ</t>
    </rPh>
    <phoneticPr fontId="3"/>
  </si>
  <si>
    <t>電気自動車などエコカーにする</t>
    <rPh sb="0" eb="2">
      <t>デンキ</t>
    </rPh>
    <rPh sb="2" eb="5">
      <t>ジドウシャ</t>
    </rPh>
    <phoneticPr fontId="3"/>
  </si>
  <si>
    <t>常にエコドライブにこころがける</t>
    <rPh sb="0" eb="1">
      <t>ツネ</t>
    </rPh>
    <phoneticPr fontId="3"/>
  </si>
  <si>
    <t>太陽光発電や太陽熱温水器を設置して使う</t>
    <rPh sb="0" eb="3">
      <t>タイヨウコウ</t>
    </rPh>
    <rPh sb="3" eb="5">
      <t>ハツデン</t>
    </rPh>
    <rPh sb="6" eb="9">
      <t>タイヨウネツ</t>
    </rPh>
    <rPh sb="9" eb="12">
      <t>オンスイキ</t>
    </rPh>
    <rPh sb="13" eb="15">
      <t>セッチ</t>
    </rPh>
    <rPh sb="17" eb="18">
      <t>ツカ</t>
    </rPh>
    <phoneticPr fontId="3"/>
  </si>
  <si>
    <t>再生割合の高い電力会社に切り替える</t>
    <rPh sb="0" eb="2">
      <t>サイセイ</t>
    </rPh>
    <rPh sb="2" eb="4">
      <t>ワリアイ</t>
    </rPh>
    <rPh sb="5" eb="6">
      <t>タカ</t>
    </rPh>
    <rPh sb="7" eb="9">
      <t>デンリョク</t>
    </rPh>
    <rPh sb="9" eb="11">
      <t>ガイシャ</t>
    </rPh>
    <rPh sb="12" eb="13">
      <t>キ</t>
    </rPh>
    <rPh sb="14" eb="15">
      <t>カ</t>
    </rPh>
    <phoneticPr fontId="3"/>
  </si>
  <si>
    <t>世界のCO2排出をゼロにする目標に合わせて生活する</t>
    <rPh sb="0" eb="2">
      <t>セカイ</t>
    </rPh>
    <rPh sb="6" eb="8">
      <t>ハイシュツ</t>
    </rPh>
    <rPh sb="14" eb="16">
      <t>モクヒョウ</t>
    </rPh>
    <rPh sb="17" eb="18">
      <t>ア</t>
    </rPh>
    <rPh sb="21" eb="23">
      <t>セイカツ</t>
    </rPh>
    <phoneticPr fontId="3"/>
  </si>
  <si>
    <t>検針票を見て削減できたかどうかを確認する</t>
    <rPh sb="0" eb="3">
      <t>ケンシンヒョウ</t>
    </rPh>
    <rPh sb="4" eb="5">
      <t>ミ</t>
    </rPh>
    <rPh sb="6" eb="8">
      <t>サクゲン</t>
    </rPh>
    <rPh sb="16" eb="18">
      <t>カクニン</t>
    </rPh>
    <phoneticPr fontId="3"/>
  </si>
  <si>
    <t>■３番目の提案</t>
    <rPh sb="2" eb="4">
      <t>バンメ</t>
    </rPh>
    <rPh sb="5" eb="7">
      <t>テイアン</t>
    </rPh>
    <phoneticPr fontId="3"/>
  </si>
  <si>
    <t>　　　★　あなたへのおすすめの取組み　★</t>
    <rPh sb="15" eb="17">
      <t>トリクミ</t>
    </rPh>
    <phoneticPr fontId="3"/>
  </si>
  <si>
    <t>　あなたの家庭からは、1か月の生活で</t>
    <rPh sb="5" eb="7">
      <t>カテイ</t>
    </rPh>
    <rPh sb="13" eb="14">
      <t>ゲツ</t>
    </rPh>
    <rPh sb="15" eb="17">
      <t>セイカツ</t>
    </rPh>
    <phoneticPr fontId="3"/>
  </si>
  <si>
    <t>■取り組みができているもの</t>
    <rPh sb="1" eb="2">
      <t>ト</t>
    </rPh>
    <rPh sb="3" eb="4">
      <t>ク</t>
    </rPh>
    <phoneticPr fontId="3"/>
  </si>
  <si>
    <t>鉄道バスを使いやすい　はい1、いいえ2</t>
    <phoneticPr fontId="3"/>
  </si>
  <si>
    <t>なるべく公共交通を利用したり自転車や徒歩にする</t>
    <rPh sb="4" eb="6">
      <t>コウキョウ</t>
    </rPh>
    <rPh sb="6" eb="8">
      <t>コウツウ</t>
    </rPh>
    <rPh sb="9" eb="11">
      <t>リヨウ</t>
    </rPh>
    <rPh sb="14" eb="17">
      <t>ジテンシャ</t>
    </rPh>
    <rPh sb="18" eb="20">
      <t>トホ</t>
    </rPh>
    <phoneticPr fontId="3"/>
  </si>
  <si>
    <t>車の相乗りをしたり近くであれば自転車や徒歩にする</t>
    <rPh sb="0" eb="1">
      <t>クルマ</t>
    </rPh>
    <rPh sb="2" eb="4">
      <t>アイノ</t>
    </rPh>
    <rPh sb="9" eb="10">
      <t>チカ</t>
    </rPh>
    <rPh sb="15" eb="18">
      <t>ジテンシャ</t>
    </rPh>
    <rPh sb="19" eb="21">
      <t>トホ</t>
    </rPh>
    <phoneticPr fontId="3"/>
  </si>
  <si>
    <t>お住まい</t>
    <rPh sb="1" eb="2">
      <t>ス</t>
    </rPh>
    <phoneticPr fontId="3"/>
  </si>
  <si>
    <t>COOLCHOICE診断書作成シート</t>
    <rPh sb="10" eb="13">
      <t>シンダンショ</t>
    </rPh>
    <rPh sb="13" eb="15">
      <t>サクセイ</t>
    </rPh>
    <phoneticPr fontId="3"/>
  </si>
  <si>
    <t>base エコライフ診断書ver.1.26 2018年10月18日</t>
    <rPh sb="10" eb="13">
      <t>シンダンショ</t>
    </rPh>
    <rPh sb="26" eb="27">
      <t>ネン</t>
    </rPh>
    <rPh sb="29" eb="30">
      <t>ガツ</t>
    </rPh>
    <rPh sb="32" eb="33">
      <t>ニチ</t>
    </rPh>
    <phoneticPr fontId="3"/>
  </si>
  <si>
    <t>❷ 標準家庭との比較</t>
    <rPh sb="2" eb="4">
      <t>ヒョウジュン</t>
    </rPh>
    <rPh sb="4" eb="6">
      <t>カテイ</t>
    </rPh>
    <rPh sb="8" eb="10">
      <t>ヒカク</t>
    </rPh>
    <phoneticPr fontId="3"/>
  </si>
  <si>
    <t>❸ 二酸化炭素排出量とうちわけ</t>
    <rPh sb="2" eb="5">
      <t>ニサンカ</t>
    </rPh>
    <rPh sb="5" eb="7">
      <t>タンソ</t>
    </rPh>
    <rPh sb="7" eb="9">
      <t>ハイシュツ</t>
    </rPh>
    <rPh sb="9" eb="10">
      <t>リョウ</t>
    </rPh>
    <phoneticPr fontId="3"/>
  </si>
  <si>
    <t>❶ あなたのCOOL CHOICE取組み度</t>
    <rPh sb="17" eb="18">
      <t>ト</t>
    </rPh>
    <rPh sb="18" eb="19">
      <t>クミ</t>
    </rPh>
    <rPh sb="20" eb="21">
      <t>ド</t>
    </rPh>
    <phoneticPr fontId="3"/>
  </si>
  <si>
    <t>再ｴﾈ・意識</t>
    <rPh sb="0" eb="1">
      <t>サイ</t>
    </rPh>
    <rPh sb="4" eb="6">
      <t>イシキ</t>
    </rPh>
    <phoneticPr fontId="3"/>
  </si>
  <si>
    <t>倍です。</t>
    <rPh sb="0" eb="1">
      <t>バイ</t>
    </rPh>
    <phoneticPr fontId="3"/>
  </si>
  <si>
    <t>呼び出し</t>
    <rPh sb="0" eb="1">
      <t>ヨ</t>
    </rPh>
    <rPh sb="2" eb="3">
      <t>ダ</t>
    </rPh>
    <phoneticPr fontId="3"/>
  </si>
  <si>
    <t>重みづけ係数</t>
    <rPh sb="0" eb="1">
      <t>オモ</t>
    </rPh>
    <rPh sb="4" eb="6">
      <t>ケイスウ</t>
    </rPh>
    <phoneticPr fontId="3"/>
  </si>
  <si>
    <t>重みづけ</t>
    <rPh sb="0" eb="1">
      <t>オモ</t>
    </rPh>
    <phoneticPr fontId="3"/>
  </si>
  <si>
    <t>■表現変更</t>
    <rPh sb="1" eb="3">
      <t>ヒョウゲン</t>
    </rPh>
    <rPh sb="3" eb="5">
      <t>ヘンコウ</t>
    </rPh>
    <phoneticPr fontId="3"/>
  </si>
  <si>
    <t>■不可能条件</t>
    <rPh sb="1" eb="4">
      <t>フカノウ</t>
    </rPh>
    <rPh sb="4" eb="6">
      <t>ジョウケン</t>
    </rPh>
    <phoneticPr fontId="3"/>
  </si>
  <si>
    <t>(1)主に使う暖房器具は？</t>
  </si>
  <si>
    <t>(3)エアコンのメンテナンスをしている？</t>
  </si>
  <si>
    <t>(5)冷蔵庫は何台もっている？</t>
  </si>
  <si>
    <t>　最もよく使うもの一つ</t>
  </si>
  <si>
    <t>（リビングなどよく使う部屋のものをお答えください。）</t>
  </si>
  <si>
    <t>(2)主に使う部屋の窓の断熱・断熱対策は？</t>
  </si>
  <si>
    <t>(4)部屋で暖かく過ごす・または涼しく過ごす工夫をしていることはありますか？</t>
  </si>
  <si>
    <t>(6) 照明器具で白熱電球を使用している？</t>
  </si>
  <si>
    <t>（家全体の照明を考えてみてください。）</t>
  </si>
  <si>
    <t>(7)テレビ・冷蔵庫・食洗器・便座等でエコになる設定（省エネ設定）をしている？</t>
  </si>
  <si>
    <t>(8)電気ポットや炊飯器で保温する時間は合計どのくらい？</t>
  </si>
  <si>
    <t>(9)保温調理や圧力鍋の利用など省エネ調理をしていますか？</t>
  </si>
  <si>
    <t>(10)お風呂は自動保温（オート・自動追い炊き・人がいなくても温度維持）機能を使っていますか？</t>
  </si>
  <si>
    <t>(11)季節によって風呂の湯張りする量や温度を調整している？</t>
  </si>
  <si>
    <t>(12) お風呂をわかすのに使っている給湯器の種類は？</t>
  </si>
  <si>
    <t>(13)節水シャワーヘッドを利用している？</t>
  </si>
  <si>
    <t>(14)車の使い方は？</t>
  </si>
  <si>
    <t>自転車や徒歩、</t>
  </si>
  <si>
    <t>公共交通は使っている？</t>
  </si>
  <si>
    <t>(15)車の燃費性能は？リッター何km走るか知っている？</t>
  </si>
  <si>
    <t xml:space="preserve">(16)エコタイヤを使ってタイヤの空気圧を調整している？ </t>
  </si>
  <si>
    <t xml:space="preserve">(17)エコドライブを心掛けている？ </t>
  </si>
  <si>
    <t>・ふんわりアクセル</t>
  </si>
  <si>
    <t>・早めのアクセルオフ</t>
  </si>
  <si>
    <t>・カーエアコンの使用控え目</t>
  </si>
  <si>
    <t>・アイドリングストップなど</t>
  </si>
  <si>
    <t>(18)太陽光発電や太陽熱温水器を設置している？</t>
  </si>
  <si>
    <t>(19)再生可能エネルギー割合の高い電力会社を選んでいる？</t>
  </si>
  <si>
    <t>(20)家電製品を購入する時は、</t>
  </si>
  <si>
    <t>省エネ性能を意識している？</t>
  </si>
  <si>
    <t>(21)世界では今世紀後半の早いうちにCO2排出量を実質ゼロにする目標があるのを知っている？</t>
  </si>
  <si>
    <t>(22)家の光熱費がいくらかを知っている？</t>
  </si>
  <si>
    <t>(7)季節によって風呂の湯張りする量や温度を調整している？</t>
    <phoneticPr fontId="3"/>
  </si>
  <si>
    <t>(8) お風呂をわかすのに使っている給湯器の種類は？</t>
    <phoneticPr fontId="3"/>
  </si>
  <si>
    <t>(9)節水シャワーヘッドを利用している？</t>
    <phoneticPr fontId="3"/>
  </si>
  <si>
    <t>(10)車の使い方は？</t>
    <phoneticPr fontId="3"/>
  </si>
  <si>
    <t>(11)車の燃費性能は？リッター何km走るか知っている？</t>
    <phoneticPr fontId="3"/>
  </si>
  <si>
    <t xml:space="preserve">(12)エコドライブを心掛けている？ </t>
    <phoneticPr fontId="3"/>
  </si>
  <si>
    <t>(13)太陽光発電や太陽熱温水器を設置している？</t>
    <phoneticPr fontId="3"/>
  </si>
  <si>
    <t>(14)再生可能エネルギー割合の高い電力会社を選んでいる？</t>
    <phoneticPr fontId="3"/>
  </si>
  <si>
    <t>(15)世界では今世紀後半の早いうちにCO2排出量を実質ゼロにする目標があるのを知っている？</t>
    <phoneticPr fontId="3"/>
  </si>
  <si>
    <t>(16)家の光熱費がいくらかを知っている？</t>
    <phoneticPr fontId="3"/>
  </si>
  <si>
    <t>自動最新</t>
  </si>
  <si>
    <t>内窓など窓の断熱リフォームや、すだれやオーニングなどで遮熱をする</t>
    <rPh sb="0" eb="2">
      <t>ウチマド</t>
    </rPh>
    <rPh sb="4" eb="5">
      <t>マド</t>
    </rPh>
    <rPh sb="6" eb="8">
      <t>ダンネツ</t>
    </rPh>
    <rPh sb="27" eb="29">
      <t>シャネツ</t>
    </rPh>
    <phoneticPr fontId="4"/>
  </si>
  <si>
    <t>再生エネルギー割合の高い電力会社に切り替える</t>
    <rPh sb="0" eb="2">
      <t>サイセイ</t>
    </rPh>
    <rPh sb="7" eb="9">
      <t>ワリアイ</t>
    </rPh>
    <rPh sb="10" eb="11">
      <t>タカ</t>
    </rPh>
    <rPh sb="12" eb="14">
      <t>デンリョク</t>
    </rPh>
    <rPh sb="14" eb="16">
      <t>ガイシャ</t>
    </rPh>
    <rPh sb="17" eb="18">
      <t>キ</t>
    </rPh>
    <rPh sb="19" eb="20">
      <t>カ</t>
    </rPh>
    <phoneticPr fontId="3"/>
  </si>
  <si>
    <t>■住んでいる家の形態</t>
    <rPh sb="1" eb="2">
      <t>ス</t>
    </rPh>
    <rPh sb="6" eb="7">
      <t>イエ</t>
    </rPh>
    <rPh sb="8" eb="10">
      <t>ケイタイ</t>
    </rPh>
    <phoneticPr fontId="3"/>
  </si>
  <si>
    <t>一戸建</t>
    <rPh sb="0" eb="2">
      <t>イッコ</t>
    </rPh>
    <rPh sb="2" eb="3">
      <t>ダ</t>
    </rPh>
    <phoneticPr fontId="3"/>
  </si>
  <si>
    <t>集合</t>
    <rPh sb="0" eb="2">
      <t>シュウゴウ</t>
    </rPh>
    <phoneticPr fontId="3"/>
  </si>
  <si>
    <t>ﾏﾝｼｮﾝ</t>
    <phoneticPr fontId="3"/>
  </si>
  <si>
    <t>その他</t>
    <rPh sb="2" eb="3">
      <t>タ</t>
    </rPh>
    <phoneticPr fontId="3"/>
  </si>
  <si>
    <t>■10年以上使っている機器</t>
    <phoneticPr fontId="3"/>
  </si>
  <si>
    <t>6人以上世帯</t>
    <rPh sb="1" eb="2">
      <t>ニン</t>
    </rPh>
    <rPh sb="2" eb="4">
      <t>イジョウ</t>
    </rPh>
    <rPh sb="4" eb="6">
      <t>セタイ</t>
    </rPh>
    <phoneticPr fontId="3"/>
  </si>
  <si>
    <t>家電</t>
    <phoneticPr fontId="3"/>
  </si>
  <si>
    <t>冷暖房</t>
  </si>
  <si>
    <t>(1)冷蔵庫は何台もっている？</t>
    <phoneticPr fontId="3"/>
  </si>
  <si>
    <t>(2) 照明器具で白熱電球を使用している？</t>
    <phoneticPr fontId="3"/>
  </si>
  <si>
    <t>(3)テレビ・冷蔵庫・食洗器・便座等でエコになる設定（省エネ設定）をしている？</t>
    <phoneticPr fontId="3"/>
  </si>
  <si>
    <t>(4)主に使う暖房器具は？</t>
    <phoneticPr fontId="3"/>
  </si>
  <si>
    <t>(5)主に使う部屋の窓の断熱・断熱対策は？</t>
    <phoneticPr fontId="3"/>
  </si>
  <si>
    <t>(6)エアコンのメンテナンスをしている？</t>
    <phoneticPr fontId="3"/>
  </si>
  <si>
    <t>京都COOL CHOICE 相談</t>
    <rPh sb="0" eb="2">
      <t>キョウト</t>
    </rPh>
    <rPh sb="14" eb="16">
      <t>ソウダン</t>
    </rPh>
    <phoneticPr fontId="3"/>
  </si>
  <si>
    <t>リフォーム可能？</t>
    <phoneticPr fontId="3"/>
  </si>
  <si>
    <t>照明をLEDにする</t>
    <rPh sb="0" eb="2">
      <t>ショウメイ</t>
    </rPh>
    <phoneticPr fontId="3"/>
  </si>
  <si>
    <t>世界のCO2排出をゼロにする目標について調べる</t>
    <rPh sb="0" eb="2">
      <t>セカイ</t>
    </rPh>
    <rPh sb="6" eb="8">
      <t>ハイシュツ</t>
    </rPh>
    <rPh sb="14" eb="16">
      <t>モクヒョウ</t>
    </rPh>
    <rPh sb="20" eb="21">
      <t>シラ</t>
    </rPh>
    <phoneticPr fontId="3"/>
  </si>
  <si>
    <t>検針票などで使用量を見て削減できたかどうかを確認する</t>
    <rPh sb="0" eb="3">
      <t>ケンシンヒョウ</t>
    </rPh>
    <rPh sb="6" eb="8">
      <t>シヨウ</t>
    </rPh>
    <rPh sb="8" eb="9">
      <t>リョウ</t>
    </rPh>
    <rPh sb="10" eb="11">
      <t>ミ</t>
    </rPh>
    <rPh sb="12" eb="14">
      <t>サクゲン</t>
    </rPh>
    <rPh sb="22" eb="24">
      <t>カクニン</t>
    </rPh>
    <phoneticPr fontId="3"/>
  </si>
  <si>
    <t>エアコンの室外機周りの整頓やフィルター掃除などメンテナンスする</t>
    <rPh sb="5" eb="8">
      <t>シツガイキ</t>
    </rPh>
    <rPh sb="8" eb="9">
      <t>マワ</t>
    </rPh>
    <rPh sb="11" eb="13">
      <t>セイトン</t>
    </rPh>
    <rPh sb="19" eb="21">
      <t>ソウジ</t>
    </rPh>
    <phoneticPr fontId="3"/>
  </si>
  <si>
    <t>季節によって、お風呂の湯張り温度や量を調整する</t>
    <rPh sb="0" eb="2">
      <t>キセツ</t>
    </rPh>
    <rPh sb="8" eb="10">
      <t>フロ</t>
    </rPh>
    <rPh sb="11" eb="12">
      <t>ユ</t>
    </rPh>
    <rPh sb="12" eb="13">
      <t>ハリ</t>
    </rPh>
    <rPh sb="14" eb="16">
      <t>オンド</t>
    </rPh>
    <rPh sb="17" eb="18">
      <t>リョウ</t>
    </rPh>
    <rPh sb="19" eb="21">
      <t>チョウセイ</t>
    </rPh>
    <phoneticPr fontId="4"/>
  </si>
  <si>
    <t>エコドライブにこころがける</t>
    <phoneticPr fontId="3"/>
  </si>
  <si>
    <r>
      <t>京都府地球温暖化防止活動推進センター　</t>
    </r>
    <r>
      <rPr>
        <sz val="6"/>
        <rFont val="HG丸ｺﾞｼｯｸM-PRO"/>
        <family val="3"/>
        <charset val="128"/>
      </rPr>
      <t>ver.r011203</t>
    </r>
    <rPh sb="0" eb="3">
      <t>キョウトフ</t>
    </rPh>
    <rPh sb="3" eb="5">
      <t>チキュウ</t>
    </rPh>
    <rPh sb="5" eb="8">
      <t>オンダンカ</t>
    </rPh>
    <rPh sb="8" eb="10">
      <t>ボウシ</t>
    </rPh>
    <rPh sb="10" eb="12">
      <t>カツドウ</t>
    </rPh>
    <rPh sb="12" eb="14">
      <t>スイシン</t>
    </rPh>
    <phoneticPr fontId="3"/>
  </si>
  <si>
    <t>サンプル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</si>
</sst>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&quot;;@"/>
    <numFmt numFmtId="177" formatCode="#,##0.0;[Red]\-#,##0.0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2"/>
      <name val="ＭＳ Ｐゴシック"/>
      <family val="3"/>
      <charset val="128"/>
    </font>
    <font>
      <i/>
      <sz val="8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26"/>
      <name val="HG丸ｺﾞｼｯｸM-PRO"/>
      <family val="3"/>
      <charset val="128"/>
    </font>
    <font>
      <b/>
      <sz val="14"/>
      <color theme="8" tint="-0.249977111117893"/>
      <name val="HG丸ｺﾞｼｯｸM-PRO"/>
      <family val="3"/>
      <charset val="128"/>
    </font>
    <font>
      <sz val="11"/>
      <color theme="5" tint="-0.499984740745262"/>
      <name val="HG丸ｺﾞｼｯｸM-PRO"/>
      <family val="3"/>
      <charset val="128"/>
    </font>
    <font>
      <sz val="11"/>
      <color theme="7" tint="-0.249977111117893"/>
      <name val="HG丸ｺﾞｼｯｸM-PRO"/>
      <family val="3"/>
      <charset val="128"/>
    </font>
    <font>
      <sz val="12"/>
      <color theme="9" tint="-0.249977111117893"/>
      <name val="HG丸ｺﾞｼｯｸM-PRO"/>
      <family val="3"/>
      <charset val="128"/>
    </font>
    <font>
      <b/>
      <sz val="16"/>
      <color theme="9" tint="-0.249977111117893"/>
      <name val="ＭＳ Ｐゴシック"/>
      <family val="3"/>
      <charset val="128"/>
    </font>
    <font>
      <b/>
      <sz val="18"/>
      <color theme="9" tint="-0.249977111117893"/>
      <name val="ＭＳ Ｐゴシック"/>
      <family val="3"/>
      <charset val="128"/>
    </font>
    <font>
      <sz val="11"/>
      <color theme="9" tint="-0.249977111117893"/>
      <name val="ＭＳ Ｐゴシック"/>
      <family val="3"/>
      <charset val="128"/>
    </font>
    <font>
      <sz val="9"/>
      <color theme="8" tint="-0.499984740745262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8" tint="-0.249977111117893"/>
      <name val="ＭＳ Ｐゴシック"/>
      <family val="3"/>
      <charset val="128"/>
    </font>
    <font>
      <sz val="6"/>
      <name val="HG丸ｺﾞｼｯｸM-PRO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5DC"/>
        <bgColor indexed="64"/>
      </patternFill>
    </fill>
    <fill>
      <patternFill patternType="solid">
        <fgColor rgb="FFD597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255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0" xfId="0" applyFill="1" applyBorder="1">
      <alignment vertical="center"/>
    </xf>
    <xf numFmtId="20" fontId="0" fillId="2" borderId="0" xfId="0" applyNumberFormat="1" applyFill="1" applyBorder="1">
      <alignment vertical="center"/>
    </xf>
    <xf numFmtId="0" fontId="0" fillId="3" borderId="0" xfId="0" applyFill="1">
      <alignment vertical="center"/>
    </xf>
    <xf numFmtId="0" fontId="0" fillId="4" borderId="1" xfId="0" applyFill="1" applyBorder="1">
      <alignment vertical="center"/>
    </xf>
    <xf numFmtId="0" fontId="0" fillId="4" borderId="2" xfId="0" applyFill="1" applyBorder="1">
      <alignment vertical="center"/>
    </xf>
    <xf numFmtId="0" fontId="0" fillId="4" borderId="3" xfId="0" applyFill="1" applyBorder="1">
      <alignment vertical="center"/>
    </xf>
    <xf numFmtId="0" fontId="0" fillId="4" borderId="4" xfId="0" applyFill="1" applyBorder="1">
      <alignment vertical="center"/>
    </xf>
    <xf numFmtId="0" fontId="0" fillId="4" borderId="5" xfId="0" applyFill="1" applyBorder="1">
      <alignment vertical="center"/>
    </xf>
    <xf numFmtId="0" fontId="0" fillId="0" borderId="6" xfId="0" applyFill="1" applyBorder="1">
      <alignment vertical="center"/>
    </xf>
    <xf numFmtId="0" fontId="0" fillId="4" borderId="6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8" xfId="0" applyFill="1" applyBorder="1">
      <alignment vertical="center"/>
    </xf>
    <xf numFmtId="0" fontId="0" fillId="4" borderId="9" xfId="0" applyFill="1" applyBorder="1">
      <alignment vertical="center"/>
    </xf>
    <xf numFmtId="0" fontId="0" fillId="4" borderId="6" xfId="0" applyFill="1" applyBorder="1" applyAlignment="1">
      <alignment horizontal="center"/>
    </xf>
    <xf numFmtId="0" fontId="0" fillId="0" borderId="10" xfId="0" applyFill="1" applyBorder="1">
      <alignment vertical="center"/>
    </xf>
    <xf numFmtId="0" fontId="0" fillId="0" borderId="4" xfId="0" applyFill="1" applyBorder="1">
      <alignment vertical="center"/>
    </xf>
    <xf numFmtId="0" fontId="0" fillId="0" borderId="5" xfId="0" applyFill="1" applyBorder="1">
      <alignment vertical="center"/>
    </xf>
    <xf numFmtId="0" fontId="0" fillId="5" borderId="11" xfId="0" applyFill="1" applyBorder="1">
      <alignment vertical="center"/>
    </xf>
    <xf numFmtId="0" fontId="0" fillId="5" borderId="12" xfId="0" applyFill="1" applyBorder="1">
      <alignment vertical="center"/>
    </xf>
    <xf numFmtId="0" fontId="0" fillId="5" borderId="13" xfId="0" applyFill="1" applyBorder="1">
      <alignment vertical="center"/>
    </xf>
    <xf numFmtId="0" fontId="6" fillId="5" borderId="11" xfId="0" applyFont="1" applyFill="1" applyBorder="1">
      <alignment vertical="center"/>
    </xf>
    <xf numFmtId="14" fontId="0" fillId="5" borderId="11" xfId="0" applyNumberFormat="1" applyFill="1" applyBorder="1" applyAlignment="1">
      <alignment horizontal="right" vertical="center"/>
    </xf>
    <xf numFmtId="0" fontId="0" fillId="6" borderId="0" xfId="0" applyFill="1">
      <alignment vertical="center"/>
    </xf>
    <xf numFmtId="0" fontId="8" fillId="6" borderId="0" xfId="0" applyFont="1" applyFill="1">
      <alignment vertical="center"/>
    </xf>
    <xf numFmtId="0" fontId="0" fillId="6" borderId="0" xfId="0" applyFill="1" applyAlignment="1">
      <alignment horizontal="right" vertical="center"/>
    </xf>
    <xf numFmtId="0" fontId="0" fillId="6" borderId="0" xfId="0" applyFill="1" applyProtection="1">
      <alignment vertical="center"/>
      <protection hidden="1"/>
    </xf>
    <xf numFmtId="0" fontId="0" fillId="6" borderId="0" xfId="0" applyFill="1" applyAlignment="1" applyProtection="1">
      <alignment horizontal="centerContinuous" vertical="center"/>
      <protection hidden="1"/>
    </xf>
    <xf numFmtId="0" fontId="7" fillId="6" borderId="6" xfId="0" applyFont="1" applyFill="1" applyBorder="1" applyAlignment="1" applyProtection="1">
      <alignment horizontal="right" vertical="center"/>
      <protection hidden="1"/>
    </xf>
    <xf numFmtId="0" fontId="0" fillId="0" borderId="0" xfId="0" applyFill="1" applyBorder="1" applyProtection="1">
      <alignment vertical="center"/>
      <protection locked="0"/>
    </xf>
    <xf numFmtId="0" fontId="0" fillId="5" borderId="13" xfId="0" applyFill="1" applyBorder="1" applyProtection="1">
      <alignment vertical="center"/>
      <protection hidden="1"/>
    </xf>
    <xf numFmtId="0" fontId="6" fillId="5" borderId="11" xfId="0" applyFont="1" applyFill="1" applyBorder="1" applyProtection="1">
      <alignment vertical="center"/>
      <protection hidden="1"/>
    </xf>
    <xf numFmtId="0" fontId="0" fillId="5" borderId="11" xfId="0" applyFill="1" applyBorder="1" applyProtection="1">
      <alignment vertical="center"/>
      <protection hidden="1"/>
    </xf>
    <xf numFmtId="14" fontId="0" fillId="5" borderId="11" xfId="0" applyNumberFormat="1" applyFill="1" applyBorder="1" applyAlignment="1" applyProtection="1">
      <alignment horizontal="right" vertical="center"/>
      <protection hidden="1"/>
    </xf>
    <xf numFmtId="0" fontId="0" fillId="5" borderId="12" xfId="0" applyFill="1" applyBorder="1" applyProtection="1">
      <alignment vertical="center"/>
      <protection hidden="1"/>
    </xf>
    <xf numFmtId="0" fontId="0" fillId="2" borderId="0" xfId="0" applyFill="1" applyProtection="1">
      <alignment vertical="center"/>
      <protection hidden="1"/>
    </xf>
    <xf numFmtId="0" fontId="0" fillId="3" borderId="0" xfId="0" applyFill="1" applyProtection="1">
      <alignment vertical="center"/>
      <protection hidden="1"/>
    </xf>
    <xf numFmtId="0" fontId="0" fillId="4" borderId="3" xfId="0" applyFill="1" applyBorder="1" applyProtection="1">
      <alignment vertical="center"/>
      <protection hidden="1"/>
    </xf>
    <xf numFmtId="38" fontId="0" fillId="7" borderId="14" xfId="2" applyFont="1" applyFill="1" applyBorder="1" applyProtection="1">
      <alignment vertical="center"/>
      <protection hidden="1"/>
    </xf>
    <xf numFmtId="0" fontId="0" fillId="7" borderId="3" xfId="0" applyFill="1" applyBorder="1" applyProtection="1">
      <alignment vertical="center"/>
      <protection hidden="1"/>
    </xf>
    <xf numFmtId="0" fontId="0" fillId="7" borderId="14" xfId="0" applyFill="1" applyBorder="1" applyProtection="1">
      <alignment vertical="center"/>
      <protection hidden="1"/>
    </xf>
    <xf numFmtId="0" fontId="0" fillId="7" borderId="10" xfId="0" applyFill="1" applyBorder="1" applyProtection="1">
      <alignment vertical="center"/>
      <protection hidden="1"/>
    </xf>
    <xf numFmtId="0" fontId="0" fillId="4" borderId="4" xfId="0" applyFill="1" applyBorder="1" applyProtection="1">
      <alignment vertical="center"/>
      <protection hidden="1"/>
    </xf>
    <xf numFmtId="38" fontId="0" fillId="7" borderId="0" xfId="2" applyFont="1" applyFill="1" applyBorder="1" applyProtection="1">
      <alignment vertical="center"/>
      <protection hidden="1"/>
    </xf>
    <xf numFmtId="0" fontId="0" fillId="7" borderId="4" xfId="0" applyFill="1" applyBorder="1" applyProtection="1">
      <alignment vertical="center"/>
      <protection hidden="1"/>
    </xf>
    <xf numFmtId="0" fontId="0" fillId="7" borderId="0" xfId="0" applyFill="1" applyBorder="1" applyProtection="1">
      <alignment vertical="center"/>
      <protection hidden="1"/>
    </xf>
    <xf numFmtId="0" fontId="0" fillId="7" borderId="7" xfId="0" applyFill="1" applyBorder="1" applyProtection="1">
      <alignment vertical="center"/>
      <protection hidden="1"/>
    </xf>
    <xf numFmtId="0" fontId="0" fillId="4" borderId="5" xfId="0" applyFill="1" applyBorder="1" applyProtection="1">
      <alignment vertical="center"/>
      <protection hidden="1"/>
    </xf>
    <xf numFmtId="38" fontId="0" fillId="7" borderId="15" xfId="2" applyFont="1" applyFill="1" applyBorder="1" applyProtection="1">
      <alignment vertical="center"/>
      <protection hidden="1"/>
    </xf>
    <xf numFmtId="0" fontId="0" fillId="7" borderId="5" xfId="0" applyFill="1" applyBorder="1" applyProtection="1">
      <alignment vertical="center"/>
      <protection hidden="1"/>
    </xf>
    <xf numFmtId="0" fontId="0" fillId="7" borderId="15" xfId="0" applyFill="1" applyBorder="1" applyProtection="1">
      <alignment vertical="center"/>
      <protection hidden="1"/>
    </xf>
    <xf numFmtId="0" fontId="0" fillId="7" borderId="8" xfId="0" applyFill="1" applyBorder="1" applyProtection="1">
      <alignment vertical="center"/>
      <protection hidden="1"/>
    </xf>
    <xf numFmtId="0" fontId="0" fillId="4" borderId="14" xfId="0" applyFill="1" applyBorder="1" applyProtection="1">
      <alignment vertical="center"/>
      <protection hidden="1"/>
    </xf>
    <xf numFmtId="0" fontId="0" fillId="4" borderId="0" xfId="0" applyFill="1" applyBorder="1" applyProtection="1">
      <alignment vertical="center"/>
      <protection hidden="1"/>
    </xf>
    <xf numFmtId="0" fontId="0" fillId="4" borderId="6" xfId="0" applyFill="1" applyBorder="1" applyProtection="1">
      <alignment vertical="center"/>
      <protection hidden="1"/>
    </xf>
    <xf numFmtId="0" fontId="0" fillId="4" borderId="15" xfId="0" applyFill="1" applyBorder="1" applyProtection="1">
      <alignment vertical="center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0" fillId="5" borderId="3" xfId="0" applyFill="1" applyBorder="1" applyAlignment="1" applyProtection="1">
      <alignment vertical="center" wrapText="1"/>
      <protection hidden="1"/>
    </xf>
    <xf numFmtId="0" fontId="0" fillId="5" borderId="9" xfId="0" applyFill="1" applyBorder="1" applyAlignment="1" applyProtection="1">
      <alignment vertical="center"/>
      <protection hidden="1"/>
    </xf>
    <xf numFmtId="0" fontId="0" fillId="5" borderId="16" xfId="0" applyFill="1" applyBorder="1" applyAlignment="1" applyProtection="1">
      <alignment vertical="center"/>
      <protection hidden="1"/>
    </xf>
    <xf numFmtId="0" fontId="0" fillId="5" borderId="17" xfId="0" applyFill="1" applyBorder="1" applyAlignment="1" applyProtection="1">
      <alignment vertical="center"/>
      <protection hidden="1"/>
    </xf>
    <xf numFmtId="0" fontId="0" fillId="5" borderId="6" xfId="0" applyFill="1" applyBorder="1" applyAlignment="1" applyProtection="1">
      <alignment vertical="center" wrapText="1"/>
      <protection hidden="1"/>
    </xf>
    <xf numFmtId="0" fontId="0" fillId="2" borderId="3" xfId="0" applyFill="1" applyBorder="1" applyAlignment="1" applyProtection="1">
      <alignment vertical="center" wrapText="1"/>
      <protection hidden="1"/>
    </xf>
    <xf numFmtId="0" fontId="0" fillId="2" borderId="5" xfId="0" applyFill="1" applyBorder="1" applyAlignment="1" applyProtection="1">
      <alignment vertical="center" wrapText="1"/>
      <protection hidden="1"/>
    </xf>
    <xf numFmtId="0" fontId="9" fillId="6" borderId="0" xfId="0" applyFont="1" applyFill="1" applyAlignment="1">
      <alignment horizontal="centerContinuous" vertical="center"/>
    </xf>
    <xf numFmtId="0" fontId="0" fillId="6" borderId="0" xfId="0" applyFill="1" applyAlignment="1">
      <alignment horizontal="centerContinuous" vertical="center"/>
    </xf>
    <xf numFmtId="0" fontId="0" fillId="6" borderId="1" xfId="0" applyFill="1" applyBorder="1">
      <alignment vertical="center"/>
    </xf>
    <xf numFmtId="0" fontId="0" fillId="6" borderId="14" xfId="0" applyFill="1" applyBorder="1">
      <alignment vertical="center"/>
    </xf>
    <xf numFmtId="0" fontId="0" fillId="6" borderId="10" xfId="0" applyFill="1" applyBorder="1">
      <alignment vertical="center"/>
    </xf>
    <xf numFmtId="0" fontId="0" fillId="6" borderId="18" xfId="0" applyFill="1" applyBorder="1">
      <alignment vertical="center"/>
    </xf>
    <xf numFmtId="0" fontId="0" fillId="6" borderId="15" xfId="0" applyFill="1" applyBorder="1" applyAlignment="1">
      <alignment horizontal="right" vertical="center"/>
    </xf>
    <xf numFmtId="0" fontId="0" fillId="6" borderId="8" xfId="0" applyFill="1" applyBorder="1" applyAlignment="1">
      <alignment horizontal="right" vertical="center"/>
    </xf>
    <xf numFmtId="0" fontId="0" fillId="6" borderId="19" xfId="0" applyFill="1" applyBorder="1">
      <alignment vertical="center"/>
    </xf>
    <xf numFmtId="0" fontId="0" fillId="6" borderId="19" xfId="0" applyFill="1" applyBorder="1" applyAlignment="1">
      <alignment horizontal="center" vertical="center"/>
    </xf>
    <xf numFmtId="20" fontId="0" fillId="0" borderId="7" xfId="0" applyNumberFormat="1" applyFill="1" applyBorder="1" applyProtection="1">
      <alignment vertical="center"/>
      <protection locked="0"/>
    </xf>
    <xf numFmtId="0" fontId="10" fillId="6" borderId="0" xfId="0" applyFont="1" applyFill="1" applyAlignment="1" applyProtection="1">
      <alignment horizontal="right" vertical="center"/>
      <protection hidden="1"/>
    </xf>
    <xf numFmtId="0" fontId="0" fillId="6" borderId="15" xfId="0" applyFill="1" applyBorder="1">
      <alignment vertical="center"/>
    </xf>
    <xf numFmtId="0" fontId="0" fillId="6" borderId="8" xfId="0" applyFill="1" applyBorder="1">
      <alignment vertical="center"/>
    </xf>
    <xf numFmtId="0" fontId="1" fillId="0" borderId="0" xfId="0" applyFont="1">
      <alignment vertical="center"/>
    </xf>
    <xf numFmtId="0" fontId="1" fillId="0" borderId="3" xfId="0" applyFont="1" applyBorder="1">
      <alignment vertical="center"/>
    </xf>
    <xf numFmtId="0" fontId="1" fillId="0" borderId="6" xfId="0" applyFont="1" applyBorder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>
      <alignment vertical="center"/>
    </xf>
    <xf numFmtId="0" fontId="5" fillId="0" borderId="6" xfId="0" applyFont="1" applyBorder="1" applyAlignment="1">
      <alignment vertical="top" wrapText="1"/>
    </xf>
    <xf numFmtId="0" fontId="11" fillId="0" borderId="0" xfId="0" applyFont="1">
      <alignment vertical="center"/>
    </xf>
    <xf numFmtId="38" fontId="11" fillId="0" borderId="0" xfId="2" applyFont="1">
      <alignment vertical="center"/>
    </xf>
    <xf numFmtId="0" fontId="11" fillId="0" borderId="0" xfId="0" applyFont="1" applyAlignment="1">
      <alignment horizontal="right" vertical="center"/>
    </xf>
    <xf numFmtId="38" fontId="11" fillId="0" borderId="0" xfId="0" applyNumberFormat="1" applyFont="1">
      <alignment vertical="center"/>
    </xf>
    <xf numFmtId="0" fontId="11" fillId="3" borderId="0" xfId="0" applyFont="1" applyFill="1">
      <alignment vertical="center"/>
    </xf>
    <xf numFmtId="9" fontId="11" fillId="0" borderId="0" xfId="1" applyFont="1">
      <alignment vertical="center"/>
    </xf>
    <xf numFmtId="38" fontId="11" fillId="0" borderId="0" xfId="2" applyFont="1" applyFill="1" applyBorder="1" applyAlignment="1"/>
    <xf numFmtId="38" fontId="11" fillId="0" borderId="0" xfId="2" applyFont="1" applyAlignment="1"/>
    <xf numFmtId="3" fontId="11" fillId="0" borderId="0" xfId="0" applyNumberFormat="1" applyFont="1">
      <alignment vertical="center"/>
    </xf>
    <xf numFmtId="177" fontId="11" fillId="0" borderId="0" xfId="2" applyNumberFormat="1" applyFont="1">
      <alignment vertical="center"/>
    </xf>
    <xf numFmtId="9" fontId="11" fillId="0" borderId="0" xfId="0" applyNumberFormat="1" applyFont="1">
      <alignment vertical="center"/>
    </xf>
    <xf numFmtId="0" fontId="0" fillId="6" borderId="2" xfId="0" applyFill="1" applyBorder="1">
      <alignment vertical="center"/>
    </xf>
    <xf numFmtId="0" fontId="0" fillId="6" borderId="0" xfId="0" applyFill="1" applyBorder="1">
      <alignment vertical="center"/>
    </xf>
    <xf numFmtId="0" fontId="0" fillId="6" borderId="7" xfId="0" applyFill="1" applyBorder="1">
      <alignment vertical="center"/>
    </xf>
    <xf numFmtId="0" fontId="0" fillId="6" borderId="9" xfId="0" applyFill="1" applyBorder="1">
      <alignment vertical="center"/>
    </xf>
    <xf numFmtId="0" fontId="0" fillId="6" borderId="16" xfId="0" applyFill="1" applyBorder="1">
      <alignment vertical="center"/>
    </xf>
    <xf numFmtId="0" fontId="0" fillId="6" borderId="17" xfId="0" applyFill="1" applyBorder="1">
      <alignment vertical="center"/>
    </xf>
    <xf numFmtId="0" fontId="0" fillId="4" borderId="6" xfId="0" applyFill="1" applyBorder="1" applyAlignment="1" applyProtection="1">
      <alignment vertical="center" wrapText="1"/>
      <protection hidden="1"/>
    </xf>
    <xf numFmtId="0" fontId="0" fillId="4" borderId="6" xfId="0" applyFill="1" applyBorder="1" applyAlignment="1">
      <alignment vertical="center"/>
    </xf>
    <xf numFmtId="0" fontId="11" fillId="0" borderId="6" xfId="0" applyFont="1" applyBorder="1">
      <alignment vertical="center"/>
    </xf>
    <xf numFmtId="0" fontId="0" fillId="0" borderId="17" xfId="0" applyFill="1" applyBorder="1" applyAlignment="1">
      <alignment vertical="center"/>
    </xf>
    <xf numFmtId="0" fontId="11" fillId="4" borderId="0" xfId="0" applyFont="1" applyFill="1">
      <alignment vertical="center"/>
    </xf>
    <xf numFmtId="0" fontId="0" fillId="0" borderId="0" xfId="0" applyBorder="1">
      <alignment vertical="center"/>
    </xf>
    <xf numFmtId="38" fontId="0" fillId="0" borderId="0" xfId="0" applyNumberFormat="1">
      <alignment vertical="center"/>
    </xf>
    <xf numFmtId="40" fontId="11" fillId="0" borderId="0" xfId="2" applyNumberFormat="1" applyFont="1">
      <alignment vertical="center"/>
    </xf>
    <xf numFmtId="40" fontId="11" fillId="0" borderId="0" xfId="0" applyNumberFormat="1" applyFont="1">
      <alignment vertical="center"/>
    </xf>
    <xf numFmtId="0" fontId="11" fillId="7" borderId="0" xfId="0" applyFont="1" applyFill="1">
      <alignment vertical="center"/>
    </xf>
    <xf numFmtId="38" fontId="11" fillId="7" borderId="0" xfId="2" applyFont="1" applyFill="1">
      <alignment vertical="center"/>
    </xf>
    <xf numFmtId="0" fontId="13" fillId="2" borderId="0" xfId="0" applyFont="1" applyFill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wrapText="1"/>
    </xf>
    <xf numFmtId="0" fontId="0" fillId="4" borderId="3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2" fillId="7" borderId="0" xfId="0" applyFont="1" applyFill="1" applyBorder="1">
      <alignment vertical="center"/>
    </xf>
    <xf numFmtId="0" fontId="2" fillId="7" borderId="0" xfId="0" applyFont="1" applyFill="1">
      <alignment vertical="center"/>
    </xf>
    <xf numFmtId="0" fontId="0" fillId="5" borderId="9" xfId="0" applyFill="1" applyBorder="1" applyAlignment="1" applyProtection="1">
      <alignment vertical="center" wrapText="1"/>
      <protection hidden="1"/>
    </xf>
    <xf numFmtId="0" fontId="2" fillId="0" borderId="3" xfId="0" applyFont="1" applyBorder="1">
      <alignment vertical="center"/>
    </xf>
    <xf numFmtId="0" fontId="2" fillId="0" borderId="0" xfId="0" applyFont="1">
      <alignment vertical="center"/>
    </xf>
    <xf numFmtId="38" fontId="0" fillId="0" borderId="0" xfId="2" applyFont="1">
      <alignment vertical="center"/>
    </xf>
    <xf numFmtId="0" fontId="0" fillId="0" borderId="1" xfId="0" applyBorder="1">
      <alignment vertical="center"/>
    </xf>
    <xf numFmtId="0" fontId="0" fillId="0" borderId="14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38" fontId="0" fillId="0" borderId="7" xfId="2" applyFont="1" applyBorder="1">
      <alignment vertical="center"/>
    </xf>
    <xf numFmtId="38" fontId="0" fillId="0" borderId="7" xfId="0" applyNumberFormat="1" applyBorder="1">
      <alignment vertical="center"/>
    </xf>
    <xf numFmtId="0" fontId="0" fillId="0" borderId="18" xfId="0" applyBorder="1">
      <alignment vertical="center"/>
    </xf>
    <xf numFmtId="0" fontId="0" fillId="0" borderId="15" xfId="0" applyBorder="1">
      <alignment vertical="center"/>
    </xf>
    <xf numFmtId="38" fontId="0" fillId="0" borderId="8" xfId="0" applyNumberFormat="1" applyBorder="1">
      <alignment vertical="center"/>
    </xf>
    <xf numFmtId="38" fontId="0" fillId="0" borderId="10" xfId="0" applyNumberFormat="1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38" fontId="0" fillId="0" borderId="15" xfId="0" applyNumberFormat="1" applyBorder="1">
      <alignment vertical="center"/>
    </xf>
    <xf numFmtId="38" fontId="0" fillId="0" borderId="2" xfId="0" applyNumberFormat="1" applyBorder="1">
      <alignment vertical="center"/>
    </xf>
    <xf numFmtId="38" fontId="0" fillId="0" borderId="18" xfId="0" applyNumberFormat="1" applyBorder="1">
      <alignment vertical="center"/>
    </xf>
    <xf numFmtId="0" fontId="16" fillId="0" borderId="0" xfId="0" applyFont="1">
      <alignment vertical="center"/>
    </xf>
    <xf numFmtId="0" fontId="0" fillId="0" borderId="9" xfId="0" applyBorder="1">
      <alignment vertical="center"/>
    </xf>
    <xf numFmtId="0" fontId="0" fillId="0" borderId="6" xfId="0" applyBorder="1">
      <alignment vertical="center"/>
    </xf>
    <xf numFmtId="0" fontId="0" fillId="0" borderId="5" xfId="0" applyBorder="1">
      <alignment vertical="center"/>
    </xf>
    <xf numFmtId="0" fontId="0" fillId="0" borderId="18" xfId="0" applyBorder="1" applyAlignment="1">
      <alignment horizontal="center" vertical="center" wrapText="1"/>
    </xf>
    <xf numFmtId="0" fontId="5" fillId="4" borderId="5" xfId="0" applyFont="1" applyFill="1" applyBorder="1" applyAlignment="1" applyProtection="1">
      <alignment vertical="top" wrapText="1"/>
      <protection hidden="1"/>
    </xf>
    <xf numFmtId="0" fontId="5" fillId="4" borderId="3" xfId="0" applyFont="1" applyFill="1" applyBorder="1" applyAlignment="1" applyProtection="1">
      <alignment horizontal="center" vertical="center"/>
      <protection hidden="1"/>
    </xf>
    <xf numFmtId="0" fontId="0" fillId="6" borderId="0" xfId="0" applyFill="1" applyAlignment="1">
      <alignment vertical="center" wrapText="1"/>
    </xf>
    <xf numFmtId="177" fontId="11" fillId="7" borderId="0" xfId="2" applyNumberFormat="1" applyFont="1" applyFill="1">
      <alignment vertical="center"/>
    </xf>
    <xf numFmtId="40" fontId="0" fillId="0" borderId="0" xfId="2" applyNumberFormat="1" applyFont="1">
      <alignment vertical="center"/>
    </xf>
    <xf numFmtId="0" fontId="5" fillId="5" borderId="6" xfId="0" applyFont="1" applyFill="1" applyBorder="1" applyAlignment="1" applyProtection="1">
      <alignment vertical="center" wrapText="1"/>
      <protection hidden="1"/>
    </xf>
    <xf numFmtId="38" fontId="2" fillId="0" borderId="6" xfId="2" applyFont="1" applyBorder="1">
      <alignment vertical="center"/>
    </xf>
    <xf numFmtId="0" fontId="2" fillId="0" borderId="6" xfId="0" applyFont="1" applyBorder="1">
      <alignment vertical="center"/>
    </xf>
    <xf numFmtId="0" fontId="0" fillId="0" borderId="0" xfId="0" applyFont="1">
      <alignment vertical="center"/>
    </xf>
    <xf numFmtId="177" fontId="2" fillId="0" borderId="0" xfId="2" applyNumberFormat="1" applyFont="1">
      <alignment vertical="center"/>
    </xf>
    <xf numFmtId="40" fontId="0" fillId="0" borderId="6" xfId="2" applyNumberFormat="1" applyFont="1" applyFill="1" applyBorder="1">
      <alignment vertical="center"/>
    </xf>
    <xf numFmtId="0" fontId="0" fillId="8" borderId="0" xfId="0" applyFill="1" applyProtection="1">
      <alignment vertical="center"/>
      <protection hidden="1"/>
    </xf>
    <xf numFmtId="0" fontId="5" fillId="4" borderId="9" xfId="0" applyFont="1" applyFill="1" applyBorder="1" applyAlignment="1" applyProtection="1">
      <alignment horizontal="centerContinuous" vertical="center"/>
      <protection hidden="1"/>
    </xf>
    <xf numFmtId="0" fontId="5" fillId="4" borderId="16" xfId="0" applyFont="1" applyFill="1" applyBorder="1" applyAlignment="1" applyProtection="1">
      <alignment horizontal="centerContinuous" vertical="center"/>
      <protection hidden="1"/>
    </xf>
    <xf numFmtId="0" fontId="5" fillId="4" borderId="17" xfId="0" applyFont="1" applyFill="1" applyBorder="1" applyAlignment="1" applyProtection="1">
      <alignment horizontal="centerContinuous" vertical="center"/>
      <protection hidden="1"/>
    </xf>
    <xf numFmtId="0" fontId="5" fillId="5" borderId="9" xfId="0" applyFont="1" applyFill="1" applyBorder="1" applyAlignment="1" applyProtection="1">
      <alignment horizontal="centerContinuous" vertical="center" wrapText="1"/>
      <protection hidden="1"/>
    </xf>
    <xf numFmtId="0" fontId="5" fillId="8" borderId="6" xfId="0" applyFont="1" applyFill="1" applyBorder="1" applyAlignment="1">
      <alignment vertical="top" wrapText="1"/>
    </xf>
    <xf numFmtId="0" fontId="0" fillId="6" borderId="0" xfId="0" applyFill="1" applyAlignment="1" applyProtection="1">
      <protection hidden="1"/>
    </xf>
    <xf numFmtId="0" fontId="4" fillId="6" borderId="0" xfId="0" applyFont="1" applyFill="1" applyAlignment="1" applyProtection="1">
      <alignment vertical="top"/>
      <protection hidden="1"/>
    </xf>
    <xf numFmtId="0" fontId="0" fillId="9" borderId="6" xfId="0" applyFill="1" applyBorder="1" applyProtection="1">
      <alignment vertical="center"/>
      <protection hidden="1"/>
    </xf>
    <xf numFmtId="0" fontId="0" fillId="9" borderId="6" xfId="0" applyFill="1" applyBorder="1" applyAlignment="1" applyProtection="1">
      <alignment horizontal="center" vertical="center"/>
      <protection hidden="1"/>
    </xf>
    <xf numFmtId="0" fontId="18" fillId="6" borderId="0" xfId="0" applyFont="1" applyFill="1" applyProtection="1">
      <alignment vertical="center"/>
      <protection hidden="1"/>
    </xf>
    <xf numFmtId="0" fontId="23" fillId="6" borderId="0" xfId="0" applyFont="1" applyFill="1" applyProtection="1">
      <alignment vertical="center"/>
      <protection hidden="1"/>
    </xf>
    <xf numFmtId="0" fontId="19" fillId="6" borderId="0" xfId="0" applyFont="1" applyFill="1" applyProtection="1">
      <alignment vertical="center"/>
      <protection hidden="1"/>
    </xf>
    <xf numFmtId="0" fontId="17" fillId="6" borderId="0" xfId="0" applyFont="1" applyFill="1" applyProtection="1">
      <alignment vertical="center"/>
      <protection hidden="1"/>
    </xf>
    <xf numFmtId="0" fontId="20" fillId="6" borderId="0" xfId="0" applyFont="1" applyFill="1" applyAlignment="1" applyProtection="1">
      <alignment vertical="top"/>
      <protection hidden="1"/>
    </xf>
    <xf numFmtId="0" fontId="26" fillId="6" borderId="0" xfId="0" applyFont="1" applyFill="1" applyAlignment="1" applyProtection="1">
      <alignment vertical="top"/>
      <protection hidden="1"/>
    </xf>
    <xf numFmtId="0" fontId="18" fillId="6" borderId="0" xfId="0" applyFont="1" applyFill="1" applyAlignment="1" applyProtection="1">
      <alignment vertical="center"/>
      <protection hidden="1"/>
    </xf>
    <xf numFmtId="0" fontId="21" fillId="6" borderId="0" xfId="0" applyFont="1" applyFill="1" applyAlignment="1" applyProtection="1">
      <alignment horizontal="right" vertical="center"/>
      <protection hidden="1"/>
    </xf>
    <xf numFmtId="0" fontId="17" fillId="6" borderId="0" xfId="0" applyFont="1" applyFill="1" applyAlignment="1" applyProtection="1">
      <alignment horizontal="centerContinuous" vertical="center"/>
      <protection hidden="1"/>
    </xf>
    <xf numFmtId="0" fontId="22" fillId="6" borderId="0" xfId="0" applyFont="1" applyFill="1" applyAlignment="1" applyProtection="1">
      <alignment horizontal="left" vertical="center" indent="3"/>
      <protection hidden="1"/>
    </xf>
    <xf numFmtId="38" fontId="0" fillId="0" borderId="0" xfId="2" applyFont="1" applyFill="1" applyBorder="1" applyProtection="1">
      <alignment vertical="center"/>
      <protection locked="0"/>
    </xf>
    <xf numFmtId="0" fontId="0" fillId="0" borderId="6" xfId="0" applyFill="1" applyBorder="1" applyAlignment="1">
      <alignment vertical="center" wrapText="1"/>
    </xf>
    <xf numFmtId="0" fontId="0" fillId="6" borderId="0" xfId="0" applyFill="1" applyAlignment="1" applyProtection="1">
      <alignment horizontal="right" vertical="center"/>
      <protection hidden="1"/>
    </xf>
    <xf numFmtId="38" fontId="27" fillId="6" borderId="0" xfId="2" applyFont="1" applyFill="1" applyProtection="1">
      <alignment vertical="center"/>
      <protection hidden="1"/>
    </xf>
    <xf numFmtId="40" fontId="28" fillId="6" borderId="0" xfId="2" applyNumberFormat="1" applyFont="1" applyFill="1" applyProtection="1">
      <alignment vertical="center"/>
      <protection hidden="1"/>
    </xf>
    <xf numFmtId="0" fontId="31" fillId="6" borderId="6" xfId="0" applyFont="1" applyFill="1" applyBorder="1" applyProtection="1">
      <alignment vertical="center"/>
      <protection hidden="1"/>
    </xf>
    <xf numFmtId="0" fontId="32" fillId="6" borderId="0" xfId="0" applyFont="1" applyFill="1" applyProtection="1">
      <alignment vertical="center"/>
      <protection hidden="1"/>
    </xf>
    <xf numFmtId="0" fontId="33" fillId="6" borderId="0" xfId="0" applyFont="1" applyFill="1" applyProtection="1">
      <alignment vertical="center"/>
      <protection hidden="1"/>
    </xf>
    <xf numFmtId="0" fontId="11" fillId="0" borderId="0" xfId="0" applyNumberFormat="1" applyFont="1">
      <alignment vertical="center"/>
    </xf>
    <xf numFmtId="0" fontId="11" fillId="10" borderId="0" xfId="0" applyFont="1" applyFill="1">
      <alignment vertical="center"/>
    </xf>
    <xf numFmtId="0" fontId="0" fillId="10" borderId="0" xfId="0" applyFont="1" applyFill="1">
      <alignment vertical="center"/>
    </xf>
    <xf numFmtId="0" fontId="0" fillId="11" borderId="5" xfId="0" applyFill="1" applyBorder="1" applyAlignment="1" applyProtection="1">
      <alignment horizontal="center" vertical="center"/>
      <protection hidden="1"/>
    </xf>
    <xf numFmtId="0" fontId="5" fillId="11" borderId="6" xfId="0" applyFont="1" applyFill="1" applyBorder="1" applyAlignment="1" applyProtection="1">
      <alignment vertical="top" wrapText="1"/>
      <protection hidden="1"/>
    </xf>
    <xf numFmtId="0" fontId="0" fillId="11" borderId="0" xfId="0" applyFill="1" applyBorder="1" applyProtection="1">
      <alignment vertical="center"/>
      <protection locked="0"/>
    </xf>
    <xf numFmtId="0" fontId="0" fillId="12" borderId="5" xfId="0" applyFill="1" applyBorder="1" applyAlignment="1" applyProtection="1">
      <alignment horizontal="center" vertical="center"/>
      <protection hidden="1"/>
    </xf>
    <xf numFmtId="0" fontId="5" fillId="12" borderId="6" xfId="0" applyFont="1" applyFill="1" applyBorder="1" applyAlignment="1" applyProtection="1">
      <alignment vertical="top" wrapText="1"/>
      <protection hidden="1"/>
    </xf>
    <xf numFmtId="0" fontId="0" fillId="12" borderId="0" xfId="0" applyFill="1" applyBorder="1" applyProtection="1">
      <alignment vertical="center"/>
      <protection locked="0"/>
    </xf>
    <xf numFmtId="0" fontId="0" fillId="0" borderId="18" xfId="0" applyFill="1" applyBorder="1" applyProtection="1">
      <alignment vertical="center"/>
      <protection locked="0"/>
    </xf>
    <xf numFmtId="0" fontId="0" fillId="0" borderId="15" xfId="0" applyFill="1" applyBorder="1" applyProtection="1">
      <alignment vertical="center"/>
      <protection locked="0"/>
    </xf>
    <xf numFmtId="0" fontId="0" fillId="11" borderId="15" xfId="0" applyFill="1" applyBorder="1" applyProtection="1">
      <alignment vertical="center"/>
      <protection locked="0"/>
    </xf>
    <xf numFmtId="0" fontId="0" fillId="12" borderId="15" xfId="0" applyFill="1" applyBorder="1" applyProtection="1">
      <alignment vertical="center"/>
      <protection locked="0"/>
    </xf>
    <xf numFmtId="38" fontId="0" fillId="0" borderId="15" xfId="2" applyFont="1" applyFill="1" applyBorder="1" applyProtection="1">
      <alignment vertical="center"/>
      <protection locked="0"/>
    </xf>
    <xf numFmtId="20" fontId="0" fillId="0" borderId="8" xfId="0" applyNumberFormat="1" applyFill="1" applyBorder="1" applyProtection="1">
      <alignment vertical="center"/>
      <protection locked="0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38" fontId="0" fillId="0" borderId="22" xfId="2" applyFont="1" applyBorder="1">
      <alignment vertical="center"/>
    </xf>
    <xf numFmtId="38" fontId="0" fillId="0" borderId="21" xfId="2" applyFont="1" applyBorder="1">
      <alignment vertical="center"/>
    </xf>
    <xf numFmtId="0" fontId="0" fillId="0" borderId="0" xfId="0" applyAlignment="1">
      <alignment vertical="center" shrinkToFit="1"/>
    </xf>
    <xf numFmtId="0" fontId="0" fillId="0" borderId="6" xfId="0" applyBorder="1" applyAlignment="1">
      <alignment vertical="center" shrinkToFit="1"/>
    </xf>
    <xf numFmtId="0" fontId="0" fillId="0" borderId="4" xfId="0" applyBorder="1">
      <alignment vertical="center"/>
    </xf>
    <xf numFmtId="0" fontId="0" fillId="4" borderId="16" xfId="0" applyFill="1" applyBorder="1" applyAlignment="1" applyProtection="1">
      <alignment horizontal="center" vertical="center"/>
      <protection hidden="1"/>
    </xf>
    <xf numFmtId="0" fontId="0" fillId="0" borderId="15" xfId="0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0" fillId="10" borderId="5" xfId="0" applyFill="1" applyBorder="1" applyAlignment="1" applyProtection="1">
      <alignment horizontal="center" vertical="center"/>
      <protection hidden="1"/>
    </xf>
    <xf numFmtId="0" fontId="0" fillId="10" borderId="0" xfId="0" applyFill="1" applyBorder="1" applyProtection="1">
      <alignment vertical="center"/>
      <protection locked="0"/>
    </xf>
    <xf numFmtId="0" fontId="0" fillId="10" borderId="15" xfId="0" applyFill="1" applyBorder="1" applyProtection="1">
      <alignment vertical="center"/>
      <protection locked="0"/>
    </xf>
    <xf numFmtId="0" fontId="0" fillId="9" borderId="5" xfId="0" applyFill="1" applyBorder="1" applyAlignment="1" applyProtection="1">
      <alignment horizontal="center" vertical="center"/>
      <protection hidden="1"/>
    </xf>
    <xf numFmtId="0" fontId="0" fillId="9" borderId="0" xfId="0" applyFill="1" applyBorder="1" applyProtection="1">
      <alignment vertical="center"/>
      <protection locked="0"/>
    </xf>
    <xf numFmtId="0" fontId="0" fillId="9" borderId="15" xfId="0" applyFill="1" applyBorder="1" applyProtection="1">
      <alignment vertical="center"/>
      <protection locked="0"/>
    </xf>
    <xf numFmtId="0" fontId="0" fillId="13" borderId="5" xfId="0" applyFill="1" applyBorder="1" applyAlignment="1" applyProtection="1">
      <alignment horizontal="center" vertical="center"/>
      <protection hidden="1"/>
    </xf>
    <xf numFmtId="0" fontId="0" fillId="13" borderId="0" xfId="0" applyFill="1" applyBorder="1" applyProtection="1">
      <alignment vertical="center"/>
      <protection locked="0"/>
    </xf>
    <xf numFmtId="0" fontId="0" fillId="13" borderId="15" xfId="0" applyFill="1" applyBorder="1" applyProtection="1">
      <alignment vertical="center"/>
      <protection locked="0"/>
    </xf>
    <xf numFmtId="0" fontId="0" fillId="14" borderId="5" xfId="0" applyFill="1" applyBorder="1" applyAlignment="1" applyProtection="1">
      <alignment horizontal="center" vertical="center"/>
      <protection hidden="1"/>
    </xf>
    <xf numFmtId="0" fontId="0" fillId="14" borderId="0" xfId="0" applyFill="1" applyBorder="1" applyProtection="1">
      <alignment vertical="center"/>
      <protection locked="0"/>
    </xf>
    <xf numFmtId="0" fontId="0" fillId="14" borderId="15" xfId="0" applyFill="1" applyBorder="1" applyProtection="1">
      <alignment vertical="center"/>
      <protection locked="0"/>
    </xf>
    <xf numFmtId="0" fontId="0" fillId="6" borderId="0" xfId="0" applyFill="1" applyAlignment="1">
      <alignment vertical="top" wrapText="1"/>
    </xf>
    <xf numFmtId="0" fontId="0" fillId="6" borderId="19" xfId="0" applyFill="1" applyBorder="1" applyAlignment="1">
      <alignment vertical="center" wrapText="1"/>
    </xf>
    <xf numFmtId="0" fontId="0" fillId="6" borderId="1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19" xfId="0" applyFill="1" applyBorder="1" applyAlignment="1">
      <alignment vertical="top" wrapText="1"/>
    </xf>
    <xf numFmtId="0" fontId="0" fillId="6" borderId="18" xfId="0" applyFill="1" applyBorder="1" applyAlignment="1">
      <alignment horizontal="center" vertical="top"/>
    </xf>
    <xf numFmtId="0" fontId="0" fillId="6" borderId="8" xfId="0" applyFill="1" applyBorder="1" applyAlignment="1">
      <alignment horizontal="center" vertical="top"/>
    </xf>
    <xf numFmtId="0" fontId="0" fillId="4" borderId="9" xfId="0" applyFill="1" applyBorder="1" applyAlignment="1" applyProtection="1">
      <alignment horizontal="center" vertical="center"/>
      <protection hidden="1"/>
    </xf>
    <xf numFmtId="0" fontId="0" fillId="4" borderId="17" xfId="0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center" vertical="center"/>
      <protection locked="0"/>
    </xf>
    <xf numFmtId="0" fontId="0" fillId="6" borderId="18" xfId="0" applyFill="1" applyBorder="1" applyAlignment="1" applyProtection="1">
      <alignment horizontal="center" vertical="center"/>
      <protection locked="0"/>
    </xf>
    <xf numFmtId="0" fontId="0" fillId="6" borderId="8" xfId="0" applyFill="1" applyBorder="1" applyAlignment="1" applyProtection="1">
      <alignment horizontal="center" vertical="center"/>
      <protection locked="0"/>
    </xf>
    <xf numFmtId="0" fontId="0" fillId="7" borderId="18" xfId="0" applyFill="1" applyBorder="1" applyAlignment="1" applyProtection="1">
      <alignment horizontal="center" vertical="center"/>
      <protection hidden="1"/>
    </xf>
    <xf numFmtId="0" fontId="0" fillId="7" borderId="8" xfId="0" applyFill="1" applyBorder="1" applyAlignment="1" applyProtection="1">
      <alignment horizontal="center" vertical="center"/>
      <protection hidden="1"/>
    </xf>
    <xf numFmtId="0" fontId="29" fillId="6" borderId="0" xfId="0" applyFont="1" applyFill="1" applyAlignment="1" applyProtection="1">
      <alignment horizontal="left" vertical="center" wrapText="1"/>
      <protection hidden="1"/>
    </xf>
    <xf numFmtId="0" fontId="29" fillId="6" borderId="0" xfId="0" applyFont="1" applyFill="1" applyAlignment="1" applyProtection="1">
      <alignment horizontal="left" vertical="center"/>
      <protection hidden="1"/>
    </xf>
    <xf numFmtId="0" fontId="17" fillId="6" borderId="0" xfId="0" applyFont="1" applyFill="1" applyAlignment="1" applyProtection="1">
      <alignment horizontal="left" vertical="center" wrapText="1"/>
      <protection hidden="1"/>
    </xf>
    <xf numFmtId="0" fontId="17" fillId="6" borderId="15" xfId="0" applyFont="1" applyFill="1" applyBorder="1" applyAlignment="1" applyProtection="1">
      <alignment horizontal="left" vertical="center" wrapText="1"/>
      <protection hidden="1"/>
    </xf>
    <xf numFmtId="176" fontId="17" fillId="6" borderId="0" xfId="0" applyNumberFormat="1" applyFont="1" applyFill="1" applyAlignment="1" applyProtection="1">
      <alignment horizontal="right" vertical="center"/>
      <protection hidden="1"/>
    </xf>
    <xf numFmtId="0" fontId="24" fillId="6" borderId="0" xfId="0" applyFont="1" applyFill="1" applyAlignment="1" applyProtection="1">
      <alignment vertical="center" wrapText="1"/>
      <protection hidden="1"/>
    </xf>
    <xf numFmtId="0" fontId="17" fillId="6" borderId="0" xfId="0" applyFont="1" applyFill="1" applyAlignment="1" applyProtection="1">
      <alignment vertical="center" wrapText="1"/>
      <protection hidden="1"/>
    </xf>
    <xf numFmtId="0" fontId="25" fillId="6" borderId="0" xfId="0" applyFont="1" applyFill="1" applyAlignment="1" applyProtection="1">
      <alignment horizontal="left" vertical="top" wrapText="1"/>
      <protection hidden="1"/>
    </xf>
    <xf numFmtId="0" fontId="17" fillId="6" borderId="0" xfId="0" applyFont="1" applyFill="1" applyAlignment="1" applyProtection="1">
      <alignment horizontal="left" wrapText="1"/>
      <protection hidden="1"/>
    </xf>
    <xf numFmtId="0" fontId="30" fillId="6" borderId="0" xfId="0" applyFont="1" applyFill="1" applyAlignment="1" applyProtection="1">
      <alignment horizontal="left" vertical="center" wrapText="1"/>
      <protection hidden="1"/>
    </xf>
    <xf numFmtId="14" fontId="0" fillId="0" borderId="0" xfId="0" applyNumberFormat="1" applyAlignment="1">
      <alignment horizontal="center" vertic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FF9B9B"/>
      <color rgb="FFE2B7FF"/>
      <color rgb="FFFFC9C9"/>
      <color rgb="FFD597FF"/>
      <color rgb="FFFFC5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277740747548"/>
          <c:y val="0.20714321837196284"/>
          <c:w val="0.75963887037377409"/>
          <c:h val="0.589286741920239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診断計算!$A$26</c:f>
              <c:strCache>
                <c:ptCount val="1"/>
                <c:pt idx="0">
                  <c:v>あなた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診断計算!$B$25:$E$25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診断計算!$B$26:$E$26</c:f>
              <c:numCache>
                <c:formatCode>#,##0_);[Red]\(#,##0\)</c:formatCode>
                <c:ptCount val="4"/>
                <c:pt idx="0">
                  <c:v>12000</c:v>
                </c:pt>
                <c:pt idx="1">
                  <c:v>10000</c:v>
                </c:pt>
                <c:pt idx="2">
                  <c:v>0</c:v>
                </c:pt>
                <c:pt idx="3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7-4944-9FE9-2FDDADD9B2E0}"/>
            </c:ext>
          </c:extLst>
        </c:ser>
        <c:ser>
          <c:idx val="1"/>
          <c:order val="1"/>
          <c:tx>
            <c:strRef>
              <c:f>診断計算!$A$27</c:f>
              <c:strCache>
                <c:ptCount val="1"/>
                <c:pt idx="0">
                  <c:v>5人家族の標準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診断計算!$B$25:$E$25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診断計算!$B$27:$E$27</c:f>
              <c:numCache>
                <c:formatCode>#,##0_);[Red]\(#,##0\)</c:formatCode>
                <c:ptCount val="4"/>
                <c:pt idx="0">
                  <c:v>13407.233602204871</c:v>
                </c:pt>
                <c:pt idx="1">
                  <c:v>10152.328745860928</c:v>
                </c:pt>
                <c:pt idx="2">
                  <c:v>683.68692579505284</c:v>
                </c:pt>
                <c:pt idx="3">
                  <c:v>3662.9563888015105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7-4944-9FE9-2FDDADD9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00803840"/>
        <c:axId val="400804232"/>
      </c:barChart>
      <c:catAx>
        <c:axId val="4008038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00804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804232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8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1ヶ月の光熱費・ガソリン代（円）</a:t>
                </a:r>
              </a:p>
            </c:rich>
          </c:tx>
          <c:layout>
            <c:manualLayout>
              <c:xMode val="edge"/>
              <c:yMode val="edge"/>
              <c:x val="0.36054485669163544"/>
              <c:y val="5.714280433255702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008038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093731053151709"/>
          <c:y val="0.76056448929799259"/>
          <c:w val="0.39162758586067953"/>
          <c:h val="0.20070459502421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57894736842105"/>
          <c:y val="0.13907284768211919"/>
          <c:w val="0.57105263157894737"/>
          <c:h val="0.7185430463576159"/>
        </c:manualLayout>
      </c:layout>
      <c:radarChart>
        <c:radarStyle val="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5.7509048211078814E-2"/>
                  <c:y val="3.0601588708696167E-2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A-4DFF-9D4C-249CFB04C00C}"/>
                </c:ext>
              </c:extLst>
            </c:dLbl>
            <c:dLbl>
              <c:idx val="1"/>
              <c:layout>
                <c:manualLayout>
                  <c:x val="6.170741815167767E-3"/>
                  <c:y val="9.2873755019033222E-2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9A-4DFF-9D4C-249CFB04C00C}"/>
                </c:ext>
              </c:extLst>
            </c:dLbl>
            <c:dLbl>
              <c:idx val="2"/>
              <c:layout>
                <c:manualLayout>
                  <c:x val="-4.7492195054565624E-2"/>
                  <c:y val="-1.7795623229214822E-3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A-4DFF-9D4C-249CFB04C00C}"/>
                </c:ext>
              </c:extLst>
            </c:dLbl>
            <c:dLbl>
              <c:idx val="3"/>
              <c:layout>
                <c:manualLayout>
                  <c:x val="8.7078049454344511E-2"/>
                  <c:y val="-3.6977629451947616E-2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A-4DFF-9D4C-249CFB04C00C}"/>
                </c:ext>
              </c:extLst>
            </c:dLbl>
            <c:dLbl>
              <c:idx val="4"/>
              <c:layout>
                <c:manualLayout>
                  <c:x val="7.5883409310678034E-3"/>
                  <c:y val="6.6287045245172177E-2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A-4DFF-9D4C-249CFB04C00C}"/>
                </c:ext>
              </c:extLst>
            </c:dLbl>
            <c:spPr>
              <a:solidFill>
                <a:srgbClr val="FFFF00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診断計算!$J$13:$N$13</c:f>
              <c:strCache>
                <c:ptCount val="5"/>
                <c:pt idx="0">
                  <c:v>家電</c:v>
                </c:pt>
                <c:pt idx="1">
                  <c:v>冷暖房</c:v>
                </c:pt>
                <c:pt idx="2">
                  <c:v>給湯</c:v>
                </c:pt>
                <c:pt idx="3">
                  <c:v>車</c:v>
                </c:pt>
                <c:pt idx="4">
                  <c:v>再ｴﾈ・意識</c:v>
                </c:pt>
              </c:strCache>
            </c:strRef>
          </c:cat>
          <c:val>
            <c:numRef>
              <c:f>診断計算!$J$14:$N$14</c:f>
              <c:numCache>
                <c:formatCode>#,##0_);[Red]\(#,##0\)</c:formatCode>
                <c:ptCount val="5"/>
                <c:pt idx="0">
                  <c:v>66.666666666666657</c:v>
                </c:pt>
                <c:pt idx="1">
                  <c:v>50</c:v>
                </c:pt>
                <c:pt idx="2">
                  <c:v>83.333333333333343</c:v>
                </c:pt>
                <c:pt idx="3">
                  <c:v>33.333333333333329</c:v>
                </c:pt>
                <c:pt idx="4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9A-4DFF-9D4C-249CFB04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802272"/>
        <c:axId val="400804624"/>
      </c:radarChart>
      <c:catAx>
        <c:axId val="4008022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00804624"/>
        <c:crosses val="autoZero"/>
        <c:auto val="0"/>
        <c:lblAlgn val="ctr"/>
        <c:lblOffset val="100"/>
        <c:noMultiLvlLbl val="0"/>
      </c:catAx>
      <c:valAx>
        <c:axId val="400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FF"/>
              </a:solidFill>
              <a:prstDash val="sysDash"/>
            </a:ln>
          </c:spPr>
        </c:majorGridlines>
        <c:numFmt formatCode="#,##0_);[Red]\(#,##0\)" sourceLinked="1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008022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99236479601963"/>
          <c:y val="0.13375796178343949"/>
          <c:w val="0.63143798547061702"/>
          <c:h val="0.742038216560509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E4A-4DE5-A168-0232A9C4F628}"/>
              </c:ext>
            </c:extLst>
          </c:dPt>
          <c:dPt>
            <c:idx val="1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4A-4DE5-A168-0232A9C4F628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E4A-4DE5-A168-0232A9C4F628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4A-4DE5-A168-0232A9C4F62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7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診断計算!$B$67:$E$67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診断計算!$B$68:$E$68</c:f>
              <c:numCache>
                <c:formatCode>#,##0.0;[Red]\-#,##0.0</c:formatCode>
                <c:ptCount val="4"/>
                <c:pt idx="0">
                  <c:v>232.53146551724137</c:v>
                </c:pt>
                <c:pt idx="1">
                  <c:v>127.56887209856376</c:v>
                </c:pt>
                <c:pt idx="2">
                  <c:v>0</c:v>
                </c:pt>
                <c:pt idx="3">
                  <c:v>138.62686567164181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A-4DE5-A168-0232A9C4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37385718021354"/>
          <c:y val="0.10534369014683975"/>
          <c:w val="0.66900385410599938"/>
          <c:h val="0.83699534963579902"/>
        </c:manualLayout>
      </c:layout>
      <c:radarChart>
        <c:radarStyle val="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4.5530603144796934E-2"/>
                  <c:y val="9.4449882953819939E-2"/>
                </c:manualLayout>
              </c:layout>
              <c:spPr>
                <a:solidFill>
                  <a:schemeClr val="accent5">
                    <a:lumMod val="40000"/>
                    <a:lumOff val="60000"/>
                    <a:alpha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15-41E3-965E-3C7F0548DE0D}"/>
                </c:ext>
              </c:extLst>
            </c:dLbl>
            <c:dLbl>
              <c:idx val="1"/>
              <c:layout>
                <c:manualLayout>
                  <c:x val="-7.7197034384781666E-3"/>
                  <c:y val="0.16892601262680002"/>
                </c:manualLayout>
              </c:layout>
              <c:spPr>
                <a:solidFill>
                  <a:srgbClr val="FFC000">
                    <a:alpha val="50000"/>
                  </a:srgb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15-41E3-965E-3C7F0548DE0D}"/>
                </c:ext>
              </c:extLst>
            </c:dLbl>
            <c:dLbl>
              <c:idx val="2"/>
              <c:layout>
                <c:manualLayout>
                  <c:x val="-6.500569622447315E-2"/>
                  <c:y val="2.31451424031399E-2"/>
                </c:manualLayout>
              </c:layout>
              <c:spPr>
                <a:solidFill>
                  <a:srgbClr val="FF9B9B">
                    <a:alpha val="49804"/>
                  </a:srgb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5-41E3-965E-3C7F0548DE0D}"/>
                </c:ext>
              </c:extLst>
            </c:dLbl>
            <c:dLbl>
              <c:idx val="3"/>
              <c:layout>
                <c:manualLayout>
                  <c:x val="7.8483508188644024E-2"/>
                  <c:y val="1.4846653353259361E-2"/>
                </c:manualLayout>
              </c:layout>
              <c:spPr>
                <a:solidFill>
                  <a:srgbClr val="E2B7FF">
                    <a:alpha val="49804"/>
                  </a:srgb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5-41E3-965E-3C7F0548DE0D}"/>
                </c:ext>
              </c:extLst>
            </c:dLbl>
            <c:dLbl>
              <c:idx val="4"/>
              <c:layout>
                <c:manualLayout>
                  <c:x val="-3.3769879538928307E-3"/>
                  <c:y val="0.13929453075122369"/>
                </c:manualLayout>
              </c:layout>
              <c:spPr>
                <a:solidFill>
                  <a:schemeClr val="accent3">
                    <a:lumMod val="60000"/>
                    <a:lumOff val="40000"/>
                    <a:alpha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5-41E3-965E-3C7F0548DE0D}"/>
                </c:ext>
              </c:extLst>
            </c:dLbl>
            <c:spPr>
              <a:solidFill>
                <a:srgbClr val="FFC000">
                  <a:alpha val="50000"/>
                </a:srgbClr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診断計算!$J$13:$N$13</c:f>
              <c:strCache>
                <c:ptCount val="5"/>
                <c:pt idx="0">
                  <c:v>家電</c:v>
                </c:pt>
                <c:pt idx="1">
                  <c:v>冷暖房</c:v>
                </c:pt>
                <c:pt idx="2">
                  <c:v>給湯</c:v>
                </c:pt>
                <c:pt idx="3">
                  <c:v>車</c:v>
                </c:pt>
                <c:pt idx="4">
                  <c:v>再ｴﾈ・意識</c:v>
                </c:pt>
              </c:strCache>
            </c:strRef>
          </c:cat>
          <c:val>
            <c:numRef>
              <c:f>診断計算!$J$14:$N$14</c:f>
              <c:numCache>
                <c:formatCode>#,##0_);[Red]\(#,##0\)</c:formatCode>
                <c:ptCount val="5"/>
                <c:pt idx="0">
                  <c:v>66.666666666666657</c:v>
                </c:pt>
                <c:pt idx="1">
                  <c:v>50</c:v>
                </c:pt>
                <c:pt idx="2">
                  <c:v>83.333333333333343</c:v>
                </c:pt>
                <c:pt idx="3">
                  <c:v>33.333333333333329</c:v>
                </c:pt>
                <c:pt idx="4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15-41E3-965E-3C7F0548DE0D}"/>
            </c:ext>
          </c:extLst>
        </c:ser>
        <c:ser>
          <c:idx val="1"/>
          <c:order val="1"/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診断計算!$J$13:$N$13</c:f>
              <c:strCache>
                <c:ptCount val="5"/>
                <c:pt idx="0">
                  <c:v>家電</c:v>
                </c:pt>
                <c:pt idx="1">
                  <c:v>冷暖房</c:v>
                </c:pt>
                <c:pt idx="2">
                  <c:v>給湯</c:v>
                </c:pt>
                <c:pt idx="3">
                  <c:v>車</c:v>
                </c:pt>
                <c:pt idx="4">
                  <c:v>再ｴﾈ・意識</c:v>
                </c:pt>
              </c:strCache>
            </c:strRef>
          </c:cat>
          <c:val>
            <c:numRef>
              <c:f>診断計算!$P$14:$T$14</c:f>
              <c:numCache>
                <c:formatCode>#,##0_);[Red]\(#,##0\)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15-41E3-965E-3C7F0548D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079912"/>
        <c:axId val="403083832"/>
      </c:radarChart>
      <c:catAx>
        <c:axId val="4030799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ＭＳ Ｐゴシック"/>
              </a:defRPr>
            </a:pPr>
            <a:endParaRPr lang="ja-JP"/>
          </a:p>
        </c:txPr>
        <c:crossAx val="403083832"/>
        <c:crosses val="autoZero"/>
        <c:auto val="0"/>
        <c:lblAlgn val="ctr"/>
        <c:lblOffset val="100"/>
        <c:noMultiLvlLbl val="0"/>
      </c:catAx>
      <c:valAx>
        <c:axId val="4030838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FF"/>
              </a:solidFill>
              <a:prstDash val="solid"/>
            </a:ln>
          </c:spPr>
        </c:majorGridlines>
        <c:numFmt formatCode="#,##0_);[Red]\(#,##0\)" sourceLinked="1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ＭＳ Ｐゴシック"/>
              </a:defRPr>
            </a:pPr>
            <a:endParaRPr lang="ja-JP"/>
          </a:p>
        </c:txPr>
        <c:crossAx val="403079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948186528497408"/>
          <c:y val="0.27926140091863516"/>
          <c:w val="0.69170984455958551"/>
          <c:h val="0.68335916994750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診断計算!$A$26</c:f>
              <c:strCache>
                <c:ptCount val="1"/>
                <c:pt idx="0">
                  <c:v>あなた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67000"/>
                  </a:schemeClr>
                </a:gs>
                <a:gs pos="48000">
                  <a:schemeClr val="accent2">
                    <a:lumMod val="97000"/>
                    <a:lumOff val="3000"/>
                  </a:schemeClr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8452-40AB-9EBF-B90832CB4C7C}"/>
                </c:ext>
              </c:extLst>
            </c:dLbl>
            <c:dLbl>
              <c:idx val="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8452-40AB-9EBF-B90832CB4C7C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8452-40AB-9EBF-B90832CB4C7C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8452-40AB-9EBF-B90832CB4C7C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診断計算!$B$25:$E$25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診断計算!$B$26:$E$26</c:f>
              <c:numCache>
                <c:formatCode>#,##0_);[Red]\(#,##0\)</c:formatCode>
                <c:ptCount val="4"/>
                <c:pt idx="0">
                  <c:v>12000</c:v>
                </c:pt>
                <c:pt idx="1">
                  <c:v>10000</c:v>
                </c:pt>
                <c:pt idx="2">
                  <c:v>0</c:v>
                </c:pt>
                <c:pt idx="3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2-40AB-9EBF-B90832CB4C7C}"/>
            </c:ext>
          </c:extLst>
        </c:ser>
        <c:ser>
          <c:idx val="1"/>
          <c:order val="1"/>
          <c:tx>
            <c:strRef>
              <c:f>診断計算!$A$27</c:f>
              <c:strCache>
                <c:ptCount val="1"/>
                <c:pt idx="0">
                  <c:v>5人家族の標準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  <a:tileRect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診断計算!$B$25:$E$25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診断計算!$B$27:$E$27</c:f>
              <c:numCache>
                <c:formatCode>#,##0_);[Red]\(#,##0\)</c:formatCode>
                <c:ptCount val="4"/>
                <c:pt idx="0">
                  <c:v>13407.233602204871</c:v>
                </c:pt>
                <c:pt idx="1">
                  <c:v>10152.328745860928</c:v>
                </c:pt>
                <c:pt idx="2">
                  <c:v>683.68692579505284</c:v>
                </c:pt>
                <c:pt idx="3">
                  <c:v>3662.9563888015105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52-40AB-9EBF-B90832CB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3084224"/>
        <c:axId val="403082264"/>
      </c:barChart>
      <c:catAx>
        <c:axId val="40308422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ＭＳ Ｐゴシック"/>
              </a:defRPr>
            </a:pPr>
            <a:endParaRPr lang="ja-JP"/>
          </a:p>
        </c:txPr>
        <c:crossAx val="40308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3082264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ＭＳ Ｐゴシック"/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t>1ヶ月の光熱費・ガソリン代（円）</a:t>
                </a:r>
              </a:p>
            </c:rich>
          </c:tx>
          <c:layout>
            <c:manualLayout>
              <c:xMode val="edge"/>
              <c:yMode val="edge"/>
              <c:x val="2.6226709445736317E-2"/>
              <c:y val="0.104055169679561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030842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53185060016945"/>
          <c:y val="3.7639059398221472E-2"/>
          <c:w val="0.25745234661138461"/>
          <c:h val="0.149874110726958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761640424402899"/>
          <c:y val="0.15170780921933461"/>
          <c:w val="0.65117243361912802"/>
          <c:h val="0.7474013425751666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9E7-4A2B-AC27-7EC7478B234C}"/>
              </c:ext>
            </c:extLst>
          </c:dPt>
          <c:dPt>
            <c:idx val="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E7-4A2B-AC27-7EC7478B234C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9E7-4A2B-AC27-7EC7478B234C}"/>
              </c:ext>
            </c:extLst>
          </c:dPt>
          <c:dPt>
            <c:idx val="3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9E7-4A2B-AC27-7EC7478B234C}"/>
              </c:ext>
            </c:extLst>
          </c:dPt>
          <c:dLbls>
            <c:dLbl>
              <c:idx val="0"/>
              <c:layout>
                <c:manualLayout>
                  <c:x val="-4.0912729042573238E-2"/>
                  <c:y val="-0.245342187706639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7-4A2B-AC27-7EC7478B234C}"/>
                </c:ext>
              </c:extLst>
            </c:dLbl>
            <c:dLbl>
              <c:idx val="1"/>
              <c:layout>
                <c:manualLayout>
                  <c:x val="3.4694586138581819E-2"/>
                  <c:y val="-1.0298235493976884E-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874903804913088"/>
                      <c:h val="0.185932108706392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9E7-4A2B-AC27-7EC7478B234C}"/>
                </c:ext>
              </c:extLst>
            </c:dLbl>
            <c:dLbl>
              <c:idx val="2"/>
              <c:layout>
                <c:manualLayout>
                  <c:x val="1.0591575217910532E-2"/>
                  <c:y val="-2.922757033879301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7-4A2B-AC27-7EC7478B234C}"/>
                </c:ext>
              </c:extLst>
            </c:dLbl>
            <c:dLbl>
              <c:idx val="3"/>
              <c:layout>
                <c:manualLayout>
                  <c:x val="1.2680988382600754E-2"/>
                  <c:y val="-2.887239874402834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24959662611026567"/>
                      <c:h val="0.169080255953547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9E7-4A2B-AC27-7EC7478B234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ＭＳ Ｐゴシック"/>
                  </a:defRPr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診断計算!$B$67:$E$67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診断計算!$B$68:$E$68</c:f>
              <c:numCache>
                <c:formatCode>#,##0.0;[Red]\-#,##0.0</c:formatCode>
                <c:ptCount val="4"/>
                <c:pt idx="0">
                  <c:v>232.53146551724137</c:v>
                </c:pt>
                <c:pt idx="1">
                  <c:v>127.56887209856376</c:v>
                </c:pt>
                <c:pt idx="2">
                  <c:v>0</c:v>
                </c:pt>
                <c:pt idx="3">
                  <c:v>138.62686567164181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E7-4A2B-AC27-7EC7478B2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取組回答グラフ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集計レポート!$E$33</c:f>
              <c:strCache>
                <c:ptCount val="1"/>
                <c:pt idx="0">
                  <c:v>できている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集計レポート!$E$34:$E$49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0-4AD6-840E-831E209E6223}"/>
            </c:ext>
          </c:extLst>
        </c:ser>
        <c:ser>
          <c:idx val="1"/>
          <c:order val="1"/>
          <c:tx>
            <c:strRef>
              <c:f>集計レポート!$F$33</c:f>
              <c:strCache>
                <c:ptCount val="1"/>
                <c:pt idx="0">
                  <c:v>半分くらい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集計レポート!$F$34:$F$49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0-4AD6-840E-831E209E6223}"/>
            </c:ext>
          </c:extLst>
        </c:ser>
        <c:ser>
          <c:idx val="2"/>
          <c:order val="2"/>
          <c:tx>
            <c:strRef>
              <c:f>集計レポート!$G$33</c:f>
              <c:strCache>
                <c:ptCount val="1"/>
                <c:pt idx="0">
                  <c:v>できていない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集計レポート!$G$34:$G$49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20-4AD6-840E-831E209E6223}"/>
            </c:ext>
          </c:extLst>
        </c:ser>
        <c:ser>
          <c:idx val="3"/>
          <c:order val="3"/>
          <c:tx>
            <c:strRef>
              <c:f>集計レポート!$H$33</c:f>
              <c:strCache>
                <c:ptCount val="1"/>
                <c:pt idx="0">
                  <c:v>持っていない・関係ない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集計レポート!$H$34:$H$49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20-4AD6-840E-831E209E6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3081480"/>
        <c:axId val="403085008"/>
      </c:barChart>
      <c:catAx>
        <c:axId val="40308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3085008"/>
        <c:crosses val="autoZero"/>
        <c:auto val="1"/>
        <c:lblAlgn val="ctr"/>
        <c:lblOffset val="100"/>
        <c:noMultiLvlLbl val="0"/>
      </c:catAx>
      <c:valAx>
        <c:axId val="40308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3081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取組回答グラフ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4881260771988144"/>
          <c:y val="6.7617348197676619E-2"/>
          <c:w val="0.46385137161370354"/>
          <c:h val="0.861506865860634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集計レポート!$E$33</c:f>
              <c:strCache>
                <c:ptCount val="1"/>
                <c:pt idx="0">
                  <c:v>できている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集計レポート!$E$34:$E$49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0-4AD6-840E-831E209E6223}"/>
            </c:ext>
          </c:extLst>
        </c:ser>
        <c:ser>
          <c:idx val="1"/>
          <c:order val="1"/>
          <c:tx>
            <c:strRef>
              <c:f>集計レポート!$F$33</c:f>
              <c:strCache>
                <c:ptCount val="1"/>
                <c:pt idx="0">
                  <c:v>半分くらい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集計レポート!$F$34:$F$49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0-4AD6-840E-831E209E6223}"/>
            </c:ext>
          </c:extLst>
        </c:ser>
        <c:ser>
          <c:idx val="2"/>
          <c:order val="2"/>
          <c:tx>
            <c:strRef>
              <c:f>集計レポート!$G$33</c:f>
              <c:strCache>
                <c:ptCount val="1"/>
                <c:pt idx="0">
                  <c:v>できていない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集計レポート!$G$34:$G$49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20-4AD6-840E-831E209E6223}"/>
            </c:ext>
          </c:extLst>
        </c:ser>
        <c:ser>
          <c:idx val="3"/>
          <c:order val="3"/>
          <c:tx>
            <c:strRef>
              <c:f>集計レポート!$H$33</c:f>
              <c:strCache>
                <c:ptCount val="1"/>
                <c:pt idx="0">
                  <c:v>持っていない・関係ない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集計レポート!$H$34:$H$49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20-4AD6-840E-831E209E62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03086576"/>
        <c:axId val="403082656"/>
      </c:barChart>
      <c:catAx>
        <c:axId val="403086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3082656"/>
        <c:crosses val="autoZero"/>
        <c:auto val="1"/>
        <c:lblAlgn val="ctr"/>
        <c:lblOffset val="100"/>
        <c:noMultiLvlLbl val="0"/>
      </c:catAx>
      <c:valAx>
        <c:axId val="4030826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308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82282348825843"/>
          <c:y val="0.94096422658821366"/>
          <c:w val="0.70147635720316714"/>
          <c:h val="2.2200178874310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chart" Target="../charts/chart8.xml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chart" Target="../charts/chart7.xml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w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wmf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103414</xdr:rowOff>
    </xdr:from>
    <xdr:to>
      <xdr:col>11</xdr:col>
      <xdr:colOff>560614</xdr:colOff>
      <xdr:row>31</xdr:row>
      <xdr:rowOff>21771</xdr:rowOff>
    </xdr:to>
    <xdr:sp macro="" textlink="">
      <xdr:nvSpPr>
        <xdr:cNvPr id="8280" name="Rectangle 2">
          <a:extLst>
            <a:ext uri="{FF2B5EF4-FFF2-40B4-BE49-F238E27FC236}">
              <a16:creationId xmlns:a16="http://schemas.microsoft.com/office/drawing/2014/main" id="{D236F5DE-78B8-49B0-BBCA-A841E44396D3}"/>
            </a:ext>
          </a:extLst>
        </xdr:cNvPr>
        <xdr:cNvSpPr>
          <a:spLocks noChangeArrowheads="1"/>
        </xdr:cNvSpPr>
      </xdr:nvSpPr>
      <xdr:spPr bwMode="auto">
        <a:xfrm>
          <a:off x="4392386" y="103414"/>
          <a:ext cx="3173185" cy="527957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7</xdr:col>
      <xdr:colOff>31296</xdr:colOff>
      <xdr:row>1</xdr:row>
      <xdr:rowOff>123826</xdr:rowOff>
    </xdr:from>
    <xdr:to>
      <xdr:col>11</xdr:col>
      <xdr:colOff>525795</xdr:colOff>
      <xdr:row>29</xdr:row>
      <xdr:rowOff>20412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E5E5875-278B-4783-8B77-20DE8A8A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8521" y="295276"/>
          <a:ext cx="3047199" cy="4821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103414</xdr:rowOff>
    </xdr:from>
    <xdr:to>
      <xdr:col>6</xdr:col>
      <xdr:colOff>87086</xdr:colOff>
      <xdr:row>45</xdr:row>
      <xdr:rowOff>27214</xdr:rowOff>
    </xdr:to>
    <xdr:graphicFrame macro="">
      <xdr:nvGraphicFramePr>
        <xdr:cNvPr id="2178" name="グラフ 1">
          <a:extLst>
            <a:ext uri="{FF2B5EF4-FFF2-40B4-BE49-F238E27FC236}">
              <a16:creationId xmlns:a16="http://schemas.microsoft.com/office/drawing/2014/main" id="{CC089633-F2DC-4F30-AC4E-04BCCE436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201386</xdr:colOff>
      <xdr:row>33</xdr:row>
      <xdr:rowOff>59871</xdr:rowOff>
    </xdr:from>
    <xdr:to>
      <xdr:col>26</xdr:col>
      <xdr:colOff>27214</xdr:colOff>
      <xdr:row>50</xdr:row>
      <xdr:rowOff>21771</xdr:rowOff>
    </xdr:to>
    <xdr:graphicFrame macro="">
      <xdr:nvGraphicFramePr>
        <xdr:cNvPr id="2179" name="グラフ 2">
          <a:extLst>
            <a:ext uri="{FF2B5EF4-FFF2-40B4-BE49-F238E27FC236}">
              <a16:creationId xmlns:a16="http://schemas.microsoft.com/office/drawing/2014/main" id="{91B2D990-DAB7-4333-82AB-4745D19AA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342900</xdr:colOff>
      <xdr:row>45</xdr:row>
      <xdr:rowOff>141514</xdr:rowOff>
    </xdr:from>
    <xdr:to>
      <xdr:col>19</xdr:col>
      <xdr:colOff>65314</xdr:colOff>
      <xdr:row>63</xdr:row>
      <xdr:rowOff>48986</xdr:rowOff>
    </xdr:to>
    <xdr:graphicFrame macro="">
      <xdr:nvGraphicFramePr>
        <xdr:cNvPr id="2180" name="グラフ 3">
          <a:extLst>
            <a:ext uri="{FF2B5EF4-FFF2-40B4-BE49-F238E27FC236}">
              <a16:creationId xmlns:a16="http://schemas.microsoft.com/office/drawing/2014/main" id="{3A1DF8FB-1D1E-4BBF-9D8A-424FB86EC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234679</xdr:colOff>
      <xdr:row>5</xdr:row>
      <xdr:rowOff>65052</xdr:rowOff>
    </xdr:from>
    <xdr:to>
      <xdr:col>9</xdr:col>
      <xdr:colOff>195948</xdr:colOff>
      <xdr:row>21</xdr:row>
      <xdr:rowOff>178274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C191B08A-FD08-4313-95D9-93545C126298}"/>
            </a:ext>
          </a:extLst>
        </xdr:cNvPr>
        <xdr:cNvSpPr/>
      </xdr:nvSpPr>
      <xdr:spPr>
        <a:xfrm>
          <a:off x="3451796" y="1211940"/>
          <a:ext cx="3052035" cy="2922125"/>
        </a:xfrm>
        <a:prstGeom prst="roundRect">
          <a:avLst>
            <a:gd name="adj" fmla="val 4772"/>
          </a:avLst>
        </a:prstGeom>
        <a:solidFill>
          <a:schemeClr val="accent5">
            <a:lumMod val="40000"/>
            <a:lumOff val="60000"/>
            <a:alpha val="14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89806</xdr:colOff>
      <xdr:row>6</xdr:row>
      <xdr:rowOff>57538</xdr:rowOff>
    </xdr:from>
    <xdr:to>
      <xdr:col>5</xdr:col>
      <xdr:colOff>356506</xdr:colOff>
      <xdr:row>21</xdr:row>
      <xdr:rowOff>221213</xdr:rowOff>
    </xdr:to>
    <xdr:graphicFrame macro="">
      <xdr:nvGraphicFramePr>
        <xdr:cNvPr id="4460" name="グラフ 1">
          <a:extLst>
            <a:ext uri="{FF2B5EF4-FFF2-40B4-BE49-F238E27FC236}">
              <a16:creationId xmlns:a16="http://schemas.microsoft.com/office/drawing/2014/main" id="{DE599B69-B100-4F11-8115-F0C987702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30</xdr:row>
      <xdr:rowOff>141514</xdr:rowOff>
    </xdr:from>
    <xdr:to>
      <xdr:col>5</xdr:col>
      <xdr:colOff>304800</xdr:colOff>
      <xdr:row>40</xdr:row>
      <xdr:rowOff>10886</xdr:rowOff>
    </xdr:to>
    <xdr:graphicFrame macro="">
      <xdr:nvGraphicFramePr>
        <xdr:cNvPr id="4461" name="グラフ 2">
          <a:extLst>
            <a:ext uri="{FF2B5EF4-FFF2-40B4-BE49-F238E27FC236}">
              <a16:creationId xmlns:a16="http://schemas.microsoft.com/office/drawing/2014/main" id="{86B3DFE6-5469-4CC8-96C6-918E52585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293914</xdr:colOff>
      <xdr:row>30</xdr:row>
      <xdr:rowOff>65314</xdr:rowOff>
    </xdr:from>
    <xdr:to>
      <xdr:col>9</xdr:col>
      <xdr:colOff>87086</xdr:colOff>
      <xdr:row>40</xdr:row>
      <xdr:rowOff>38100</xdr:rowOff>
    </xdr:to>
    <xdr:sp macro="" textlink="">
      <xdr:nvSpPr>
        <xdr:cNvPr id="4462" name="Rectangle 4">
          <a:extLst>
            <a:ext uri="{FF2B5EF4-FFF2-40B4-BE49-F238E27FC236}">
              <a16:creationId xmlns:a16="http://schemas.microsoft.com/office/drawing/2014/main" id="{00CB0EB0-4A10-42D9-A580-B95683A67150}"/>
            </a:ext>
          </a:extLst>
        </xdr:cNvPr>
        <xdr:cNvSpPr>
          <a:spLocks noChangeArrowheads="1"/>
        </xdr:cNvSpPr>
      </xdr:nvSpPr>
      <xdr:spPr bwMode="auto">
        <a:xfrm>
          <a:off x="3265714" y="5671457"/>
          <a:ext cx="2661558" cy="2525486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184638</xdr:colOff>
      <xdr:row>42</xdr:row>
      <xdr:rowOff>17584</xdr:rowOff>
    </xdr:from>
    <xdr:to>
      <xdr:col>9</xdr:col>
      <xdr:colOff>271724</xdr:colOff>
      <xdr:row>54</xdr:row>
      <xdr:rowOff>17584</xdr:rowOff>
    </xdr:to>
    <xdr:graphicFrame macro="">
      <xdr:nvGraphicFramePr>
        <xdr:cNvPr id="4463" name="グラフ 5">
          <a:extLst>
            <a:ext uri="{FF2B5EF4-FFF2-40B4-BE49-F238E27FC236}">
              <a16:creationId xmlns:a16="http://schemas.microsoft.com/office/drawing/2014/main" id="{F43E0A8A-C348-41F0-B3F8-98416FA94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519217</xdr:colOff>
      <xdr:row>6</xdr:row>
      <xdr:rowOff>138990</xdr:rowOff>
    </xdr:from>
    <xdr:to>
      <xdr:col>5</xdr:col>
      <xdr:colOff>48597</xdr:colOff>
      <xdr:row>6</xdr:row>
      <xdr:rowOff>138990</xdr:rowOff>
    </xdr:to>
    <xdr:sp macro="" textlink="">
      <xdr:nvSpPr>
        <xdr:cNvPr id="4464" name="Line 8">
          <a:extLst>
            <a:ext uri="{FF2B5EF4-FFF2-40B4-BE49-F238E27FC236}">
              <a16:creationId xmlns:a16="http://schemas.microsoft.com/office/drawing/2014/main" id="{360D9621-F92B-4DE0-83CE-1ADCD6292282}"/>
            </a:ext>
          </a:extLst>
        </xdr:cNvPr>
        <xdr:cNvSpPr>
          <a:spLocks noChangeShapeType="1"/>
        </xdr:cNvSpPr>
      </xdr:nvSpPr>
      <xdr:spPr bwMode="auto">
        <a:xfrm>
          <a:off x="3046258" y="1509424"/>
          <a:ext cx="219456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326995</xdr:colOff>
      <xdr:row>21</xdr:row>
      <xdr:rowOff>207681</xdr:rowOff>
    </xdr:from>
    <xdr:to>
      <xdr:col>9</xdr:col>
      <xdr:colOff>218763</xdr:colOff>
      <xdr:row>29</xdr:row>
      <xdr:rowOff>141918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2ADBB932-D892-4185-A07C-58A16481F6C4}"/>
            </a:ext>
          </a:extLst>
        </xdr:cNvPr>
        <xdr:cNvSpPr/>
      </xdr:nvSpPr>
      <xdr:spPr>
        <a:xfrm>
          <a:off x="326995" y="3870724"/>
          <a:ext cx="5731954" cy="1686837"/>
        </a:xfrm>
        <a:prstGeom prst="roundRect">
          <a:avLst/>
        </a:prstGeom>
        <a:noFill/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187999</xdr:colOff>
      <xdr:row>43</xdr:row>
      <xdr:rowOff>134605</xdr:rowOff>
    </xdr:from>
    <xdr:to>
      <xdr:col>6</xdr:col>
      <xdr:colOff>137459</xdr:colOff>
      <xdr:row>54</xdr:row>
      <xdr:rowOff>142771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7921E4CF-8E40-451A-A3F7-FB2818E216D3}"/>
            </a:ext>
          </a:extLst>
        </xdr:cNvPr>
        <xdr:cNvSpPr/>
      </xdr:nvSpPr>
      <xdr:spPr>
        <a:xfrm>
          <a:off x="187999" y="8817009"/>
          <a:ext cx="3283210" cy="2074358"/>
        </a:xfrm>
        <a:prstGeom prst="roundRect">
          <a:avLst>
            <a:gd name="adj" fmla="val 4772"/>
          </a:avLst>
        </a:prstGeom>
        <a:solidFill>
          <a:schemeClr val="accent3">
            <a:lumMod val="40000"/>
            <a:lumOff val="60000"/>
            <a:alpha val="14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236054</xdr:colOff>
      <xdr:row>4</xdr:row>
      <xdr:rowOff>209847</xdr:rowOff>
    </xdr:from>
    <xdr:to>
      <xdr:col>9</xdr:col>
      <xdr:colOff>5669</xdr:colOff>
      <xdr:row>4</xdr:row>
      <xdr:rowOff>209847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6698054F-619F-4200-B5E8-F432B28406FA}"/>
            </a:ext>
          </a:extLst>
        </xdr:cNvPr>
        <xdr:cNvCxnSpPr/>
      </xdr:nvCxnSpPr>
      <xdr:spPr>
        <a:xfrm>
          <a:off x="138083" y="854470"/>
          <a:ext cx="5713639" cy="0"/>
        </a:xfrm>
        <a:prstGeom prst="line">
          <a:avLst/>
        </a:prstGeom>
        <a:ln w="47625" cmpd="thickThin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</xdr:row>
      <xdr:rowOff>108953</xdr:rowOff>
    </xdr:from>
    <xdr:to>
      <xdr:col>1</xdr:col>
      <xdr:colOff>411215</xdr:colOff>
      <xdr:row>4</xdr:row>
      <xdr:rowOff>57761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9ACA88F-A121-4E15-9DB6-EC02D675F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647" t="35440" r="33908" b="35504"/>
        <a:stretch/>
      </xdr:blipFill>
      <xdr:spPr>
        <a:xfrm>
          <a:off x="0" y="450539"/>
          <a:ext cx="836837" cy="509891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0.56514</cdr:x>
      <cdr:y>0.35059</cdr:y>
    </cdr:from>
    <cdr:to>
      <cdr:x>0.58158</cdr:x>
      <cdr:y>0.37704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8175" y="1408753"/>
          <a:ext cx="132802" cy="1592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ja-JP" alt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140154</xdr:colOff>
      <xdr:row>32</xdr:row>
      <xdr:rowOff>507546</xdr:rowOff>
    </xdr:from>
    <xdr:to>
      <xdr:col>31</xdr:col>
      <xdr:colOff>140154</xdr:colOff>
      <xdr:row>48</xdr:row>
      <xdr:rowOff>50346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A8CB778-4384-4B1B-A03A-F947505B59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518860</xdr:colOff>
      <xdr:row>1</xdr:row>
      <xdr:rowOff>82177</xdr:rowOff>
    </xdr:from>
    <xdr:to>
      <xdr:col>23</xdr:col>
      <xdr:colOff>574408</xdr:colOff>
      <xdr:row>60</xdr:row>
      <xdr:rowOff>31589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D36B93C-46CD-4861-BF83-330DAAA6D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1654629</xdr:colOff>
      <xdr:row>85</xdr:row>
      <xdr:rowOff>10886</xdr:rowOff>
    </xdr:from>
    <xdr:to>
      <xdr:col>2</xdr:col>
      <xdr:colOff>386443</xdr:colOff>
      <xdr:row>87</xdr:row>
      <xdr:rowOff>114300</xdr:rowOff>
    </xdr:to>
    <xdr:pic>
      <xdr:nvPicPr>
        <xdr:cNvPr id="11" name="図 20">
          <a:extLst>
            <a:ext uri="{FF2B5EF4-FFF2-40B4-BE49-F238E27FC236}">
              <a16:creationId xmlns:a16="http://schemas.microsoft.com/office/drawing/2014/main" id="{FDF0ABC9-12CC-4120-9628-C7F689E1F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71" y="11549743"/>
          <a:ext cx="484415" cy="440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870857</xdr:colOff>
      <xdr:row>84</xdr:row>
      <xdr:rowOff>163286</xdr:rowOff>
    </xdr:from>
    <xdr:to>
      <xdr:col>1</xdr:col>
      <xdr:colOff>1540329</xdr:colOff>
      <xdr:row>87</xdr:row>
      <xdr:rowOff>157843</xdr:rowOff>
    </xdr:to>
    <xdr:pic>
      <xdr:nvPicPr>
        <xdr:cNvPr id="12" name="図 19">
          <a:extLst>
            <a:ext uri="{FF2B5EF4-FFF2-40B4-BE49-F238E27FC236}">
              <a16:creationId xmlns:a16="http://schemas.microsoft.com/office/drawing/2014/main" id="{4618F7A6-7010-449C-B902-11784807A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1533414"/>
          <a:ext cx="669471" cy="50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272143</xdr:colOff>
      <xdr:row>85</xdr:row>
      <xdr:rowOff>16329</xdr:rowOff>
    </xdr:from>
    <xdr:to>
      <xdr:col>1</xdr:col>
      <xdr:colOff>751114</xdr:colOff>
      <xdr:row>87</xdr:row>
      <xdr:rowOff>157843</xdr:rowOff>
    </xdr:to>
    <xdr:pic>
      <xdr:nvPicPr>
        <xdr:cNvPr id="13" name="図 17">
          <a:extLst>
            <a:ext uri="{FF2B5EF4-FFF2-40B4-BE49-F238E27FC236}">
              <a16:creationId xmlns:a16="http://schemas.microsoft.com/office/drawing/2014/main" id="{218E3E4A-AFBE-497D-8E52-672750E0F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086" y="11555186"/>
          <a:ext cx="478971" cy="478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157843</xdr:colOff>
      <xdr:row>94</xdr:row>
      <xdr:rowOff>157843</xdr:rowOff>
    </xdr:from>
    <xdr:to>
      <xdr:col>2</xdr:col>
      <xdr:colOff>489857</xdr:colOff>
      <xdr:row>96</xdr:row>
      <xdr:rowOff>146957</xdr:rowOff>
    </xdr:to>
    <xdr:pic>
      <xdr:nvPicPr>
        <xdr:cNvPr id="14" name="図 36">
          <a:extLst>
            <a:ext uri="{FF2B5EF4-FFF2-40B4-BE49-F238E27FC236}">
              <a16:creationId xmlns:a16="http://schemas.microsoft.com/office/drawing/2014/main" id="{4CD5E60A-C974-484C-8FF1-6526742F8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386" y="13215257"/>
          <a:ext cx="332014" cy="326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1377043</xdr:colOff>
      <xdr:row>95</xdr:row>
      <xdr:rowOff>0</xdr:rowOff>
    </xdr:from>
    <xdr:to>
      <xdr:col>1</xdr:col>
      <xdr:colOff>1681843</xdr:colOff>
      <xdr:row>96</xdr:row>
      <xdr:rowOff>136071</xdr:rowOff>
    </xdr:to>
    <xdr:pic>
      <xdr:nvPicPr>
        <xdr:cNvPr id="15" name="図 35">
          <a:extLst>
            <a:ext uri="{FF2B5EF4-FFF2-40B4-BE49-F238E27FC236}">
              <a16:creationId xmlns:a16="http://schemas.microsoft.com/office/drawing/2014/main" id="{52E99846-ADC1-42CC-9FED-E84FB7331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986" y="13226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1747157</xdr:colOff>
      <xdr:row>96</xdr:row>
      <xdr:rowOff>48986</xdr:rowOff>
    </xdr:from>
    <xdr:to>
      <xdr:col>2</xdr:col>
      <xdr:colOff>424543</xdr:colOff>
      <xdr:row>98</xdr:row>
      <xdr:rowOff>103414</xdr:rowOff>
    </xdr:to>
    <xdr:pic>
      <xdr:nvPicPr>
        <xdr:cNvPr id="16" name="図 42">
          <a:extLst>
            <a:ext uri="{FF2B5EF4-FFF2-40B4-BE49-F238E27FC236}">
              <a16:creationId xmlns:a16="http://schemas.microsoft.com/office/drawing/2014/main" id="{28A280E6-1F91-4027-80D9-506E343DB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5"/>
        <a:stretch>
          <a:fillRect/>
        </a:stretch>
      </xdr:blipFill>
      <xdr:spPr bwMode="auto">
        <a:xfrm>
          <a:off x="1943100" y="13443857"/>
          <a:ext cx="429986" cy="391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1077686</xdr:colOff>
      <xdr:row>96</xdr:row>
      <xdr:rowOff>65314</xdr:rowOff>
    </xdr:from>
    <xdr:to>
      <xdr:col>1</xdr:col>
      <xdr:colOff>1714500</xdr:colOff>
      <xdr:row>98</xdr:row>
      <xdr:rowOff>114300</xdr:rowOff>
    </xdr:to>
    <xdr:pic>
      <xdr:nvPicPr>
        <xdr:cNvPr id="17" name="図 43">
          <a:extLst>
            <a:ext uri="{FF2B5EF4-FFF2-40B4-BE49-F238E27FC236}">
              <a16:creationId xmlns:a16="http://schemas.microsoft.com/office/drawing/2014/main" id="{595EE3FA-780D-454E-8111-22C78BCA3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9" y="13460186"/>
          <a:ext cx="636814" cy="386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21771</xdr:colOff>
      <xdr:row>106</xdr:row>
      <xdr:rowOff>16329</xdr:rowOff>
    </xdr:from>
    <xdr:to>
      <xdr:col>2</xdr:col>
      <xdr:colOff>429986</xdr:colOff>
      <xdr:row>107</xdr:row>
      <xdr:rowOff>136071</xdr:rowOff>
    </xdr:to>
    <xdr:pic>
      <xdr:nvPicPr>
        <xdr:cNvPr id="18" name="図 38">
          <a:extLst>
            <a:ext uri="{FF2B5EF4-FFF2-40B4-BE49-F238E27FC236}">
              <a16:creationId xmlns:a16="http://schemas.microsoft.com/office/drawing/2014/main" id="{78C8E127-28FE-441B-A223-A2D575A7E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314" y="15098486"/>
          <a:ext cx="408215" cy="288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145677</xdr:colOff>
      <xdr:row>104</xdr:row>
      <xdr:rowOff>22412</xdr:rowOff>
    </xdr:from>
    <xdr:to>
      <xdr:col>16</xdr:col>
      <xdr:colOff>227480</xdr:colOff>
      <xdr:row>108</xdr:row>
      <xdr:rowOff>117662</xdr:rowOff>
    </xdr:to>
    <xdr:pic>
      <xdr:nvPicPr>
        <xdr:cNvPr id="19" name="図 4">
          <a:extLst>
            <a:ext uri="{FF2B5EF4-FFF2-40B4-BE49-F238E27FC236}">
              <a16:creationId xmlns:a16="http://schemas.microsoft.com/office/drawing/2014/main" id="{5AD06D84-2E4C-496C-85D2-5FAD955A8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971" y="14713324"/>
          <a:ext cx="742950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324971</xdr:colOff>
      <xdr:row>104</xdr:row>
      <xdr:rowOff>156882</xdr:rowOff>
    </xdr:from>
    <xdr:to>
      <xdr:col>14</xdr:col>
      <xdr:colOff>132790</xdr:colOff>
      <xdr:row>109</xdr:row>
      <xdr:rowOff>84044</xdr:rowOff>
    </xdr:to>
    <xdr:pic>
      <xdr:nvPicPr>
        <xdr:cNvPr id="20" name="図 1">
          <a:extLst>
            <a:ext uri="{FF2B5EF4-FFF2-40B4-BE49-F238E27FC236}">
              <a16:creationId xmlns:a16="http://schemas.microsoft.com/office/drawing/2014/main" id="{D7C21841-BA4B-4158-9572-ACED10AB9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412" y="14847794"/>
          <a:ext cx="771525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212912</xdr:colOff>
      <xdr:row>102</xdr:row>
      <xdr:rowOff>11206</xdr:rowOff>
    </xdr:from>
    <xdr:to>
      <xdr:col>8</xdr:col>
      <xdr:colOff>30256</xdr:colOff>
      <xdr:row>106</xdr:row>
      <xdr:rowOff>96931</xdr:rowOff>
    </xdr:to>
    <xdr:pic>
      <xdr:nvPicPr>
        <xdr:cNvPr id="21" name="図 21">
          <a:extLst>
            <a:ext uri="{FF2B5EF4-FFF2-40B4-BE49-F238E27FC236}">
              <a16:creationId xmlns:a16="http://schemas.microsoft.com/office/drawing/2014/main" id="{BED5016F-877E-42A9-9AC8-BF7DA635A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89"/>
        <a:stretch>
          <a:fillRect/>
        </a:stretch>
      </xdr:blipFill>
      <xdr:spPr bwMode="auto">
        <a:xfrm>
          <a:off x="4762500" y="14365941"/>
          <a:ext cx="781050" cy="758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1349829</xdr:colOff>
      <xdr:row>107</xdr:row>
      <xdr:rowOff>27214</xdr:rowOff>
    </xdr:from>
    <xdr:to>
      <xdr:col>2</xdr:col>
      <xdr:colOff>408214</xdr:colOff>
      <xdr:row>110</xdr:row>
      <xdr:rowOff>108857</xdr:rowOff>
    </xdr:to>
    <xdr:pic>
      <xdr:nvPicPr>
        <xdr:cNvPr id="22" name="図 9">
          <a:extLst>
            <a:ext uri="{FF2B5EF4-FFF2-40B4-BE49-F238E27FC236}">
              <a16:creationId xmlns:a16="http://schemas.microsoft.com/office/drawing/2014/main" id="{C77D174B-7F6A-46C3-BE1D-200F8B80F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771" y="15278100"/>
          <a:ext cx="810986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1121229</xdr:colOff>
      <xdr:row>112</xdr:row>
      <xdr:rowOff>54429</xdr:rowOff>
    </xdr:from>
    <xdr:to>
      <xdr:col>2</xdr:col>
      <xdr:colOff>255814</xdr:colOff>
      <xdr:row>114</xdr:row>
      <xdr:rowOff>108857</xdr:rowOff>
    </xdr:to>
    <xdr:pic>
      <xdr:nvPicPr>
        <xdr:cNvPr id="23" name="図 5">
          <a:extLst>
            <a:ext uri="{FF2B5EF4-FFF2-40B4-BE49-F238E27FC236}">
              <a16:creationId xmlns:a16="http://schemas.microsoft.com/office/drawing/2014/main" id="{A5EDFA1B-E253-414F-980D-792F91F6F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171" y="16148957"/>
          <a:ext cx="887186" cy="391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32657</xdr:colOff>
      <xdr:row>115</xdr:row>
      <xdr:rowOff>81643</xdr:rowOff>
    </xdr:from>
    <xdr:to>
      <xdr:col>2</xdr:col>
      <xdr:colOff>315686</xdr:colOff>
      <xdr:row>117</xdr:row>
      <xdr:rowOff>27214</xdr:rowOff>
    </xdr:to>
    <xdr:pic>
      <xdr:nvPicPr>
        <xdr:cNvPr id="24" name="図 6">
          <a:extLst>
            <a:ext uri="{FF2B5EF4-FFF2-40B4-BE49-F238E27FC236}">
              <a16:creationId xmlns:a16="http://schemas.microsoft.com/office/drawing/2014/main" id="{DEBC4DD7-5699-4925-9716-3CD82BD29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6682357"/>
          <a:ext cx="283029" cy="283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134471</xdr:colOff>
      <xdr:row>116</xdr:row>
      <xdr:rowOff>39781</xdr:rowOff>
    </xdr:from>
    <xdr:to>
      <xdr:col>17</xdr:col>
      <xdr:colOff>417980</xdr:colOff>
      <xdr:row>119</xdr:row>
      <xdr:rowOff>58831</xdr:rowOff>
    </xdr:to>
    <xdr:pic>
      <xdr:nvPicPr>
        <xdr:cNvPr id="25" name="図 8">
          <a:extLst>
            <a:ext uri="{FF2B5EF4-FFF2-40B4-BE49-F238E27FC236}">
              <a16:creationId xmlns:a16="http://schemas.microsoft.com/office/drawing/2014/main" id="{E3AFC099-5A3F-4611-A31D-B95F13769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81" b="12732"/>
        <a:stretch>
          <a:fillRect/>
        </a:stretch>
      </xdr:blipFill>
      <xdr:spPr bwMode="auto">
        <a:xfrm>
          <a:off x="7451912" y="16747752"/>
          <a:ext cx="944656" cy="523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1654629</xdr:colOff>
      <xdr:row>121</xdr:row>
      <xdr:rowOff>5443</xdr:rowOff>
    </xdr:from>
    <xdr:to>
      <xdr:col>2</xdr:col>
      <xdr:colOff>310243</xdr:colOff>
      <xdr:row>123</xdr:row>
      <xdr:rowOff>81643</xdr:rowOff>
    </xdr:to>
    <xdr:pic>
      <xdr:nvPicPr>
        <xdr:cNvPr id="26" name="図 32">
          <a:extLst>
            <a:ext uri="{FF2B5EF4-FFF2-40B4-BE49-F238E27FC236}">
              <a16:creationId xmlns:a16="http://schemas.microsoft.com/office/drawing/2014/main" id="{682FF3D4-9635-434D-959B-2D6DDA4CA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71" y="17618529"/>
          <a:ext cx="408215" cy="413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1213757</xdr:colOff>
      <xdr:row>123</xdr:row>
      <xdr:rowOff>92529</xdr:rowOff>
    </xdr:from>
    <xdr:to>
      <xdr:col>1</xdr:col>
      <xdr:colOff>1627414</xdr:colOff>
      <xdr:row>125</xdr:row>
      <xdr:rowOff>65314</xdr:rowOff>
    </xdr:to>
    <xdr:pic>
      <xdr:nvPicPr>
        <xdr:cNvPr id="27" name="図 29" descr="ãå¤ªé½åçºé» ã¤ã©ã¹ããã®ç»åæ¤ç´¢çµæ">
          <a:extLst>
            <a:ext uri="{FF2B5EF4-FFF2-40B4-BE49-F238E27FC236}">
              <a16:creationId xmlns:a16="http://schemas.microsoft.com/office/drawing/2014/main" id="{7AAF7622-AB3B-45FA-8B31-2A18DA8AD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043071"/>
          <a:ext cx="413657" cy="31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1741714</xdr:colOff>
      <xdr:row>123</xdr:row>
      <xdr:rowOff>27214</xdr:rowOff>
    </xdr:from>
    <xdr:to>
      <xdr:col>2</xdr:col>
      <xdr:colOff>375557</xdr:colOff>
      <xdr:row>125</xdr:row>
      <xdr:rowOff>76200</xdr:rowOff>
    </xdr:to>
    <xdr:pic>
      <xdr:nvPicPr>
        <xdr:cNvPr id="28" name="図 27" descr="ãé¢¨å ã¤ã©ã¹ããã®ç»åæ¤ç´¢çµæ">
          <a:extLst>
            <a:ext uri="{FF2B5EF4-FFF2-40B4-BE49-F238E27FC236}">
              <a16:creationId xmlns:a16="http://schemas.microsoft.com/office/drawing/2014/main" id="{4E134B76-931A-46EA-B519-2685D6734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7657" y="17977757"/>
          <a:ext cx="386443" cy="386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1578429</xdr:colOff>
      <xdr:row>124</xdr:row>
      <xdr:rowOff>10886</xdr:rowOff>
    </xdr:from>
    <xdr:to>
      <xdr:col>2</xdr:col>
      <xdr:colOff>304800</xdr:colOff>
      <xdr:row>126</xdr:row>
      <xdr:rowOff>141514</xdr:rowOff>
    </xdr:to>
    <xdr:pic>
      <xdr:nvPicPr>
        <xdr:cNvPr id="29" name="図 31">
          <a:extLst>
            <a:ext uri="{FF2B5EF4-FFF2-40B4-BE49-F238E27FC236}">
              <a16:creationId xmlns:a16="http://schemas.microsoft.com/office/drawing/2014/main" id="{18B7711F-2853-4270-B95B-B2C968F8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371" y="18130157"/>
          <a:ext cx="478972" cy="468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1355271</xdr:colOff>
      <xdr:row>127</xdr:row>
      <xdr:rowOff>48986</xdr:rowOff>
    </xdr:from>
    <xdr:to>
      <xdr:col>2</xdr:col>
      <xdr:colOff>419100</xdr:colOff>
      <xdr:row>130</xdr:row>
      <xdr:rowOff>152400</xdr:rowOff>
    </xdr:to>
    <xdr:pic>
      <xdr:nvPicPr>
        <xdr:cNvPr id="30" name="図 18">
          <a:extLst>
            <a:ext uri="{FF2B5EF4-FFF2-40B4-BE49-F238E27FC236}">
              <a16:creationId xmlns:a16="http://schemas.microsoft.com/office/drawing/2014/main" id="{85AAC36F-A924-4992-AAEA-D85AC939F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11" r="11829"/>
        <a:stretch>
          <a:fillRect/>
        </a:stretch>
      </xdr:blipFill>
      <xdr:spPr bwMode="auto">
        <a:xfrm>
          <a:off x="1551214" y="18674443"/>
          <a:ext cx="816429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2:IU48"/>
  <sheetViews>
    <sheetView workbookViewId="0">
      <selection activeCell="B45" sqref="B45"/>
    </sheetView>
  </sheetViews>
  <sheetFormatPr defaultColWidth="0" defaultRowHeight="13" x14ac:dyDescent="0.2"/>
  <cols>
    <col min="1" max="12" width="9" style="24" customWidth="1"/>
    <col min="13" max="253" width="0" style="24" hidden="1" customWidth="1"/>
    <col min="254" max="255" width="9" style="24" hidden="1" customWidth="1"/>
    <col min="256" max="16384" width="0" style="24" hidden="1"/>
  </cols>
  <sheetData>
    <row r="2" spans="1:6" ht="23.5" x14ac:dyDescent="0.2">
      <c r="B2" s="25" t="s">
        <v>363</v>
      </c>
    </row>
    <row r="3" spans="1:6" x14ac:dyDescent="0.2">
      <c r="F3" s="26" t="s">
        <v>364</v>
      </c>
    </row>
    <row r="5" spans="1:6" x14ac:dyDescent="0.2">
      <c r="A5" s="24" t="s">
        <v>69</v>
      </c>
      <c r="B5" s="225" t="s">
        <v>67</v>
      </c>
      <c r="C5" s="225"/>
      <c r="D5" s="225"/>
      <c r="E5" s="225"/>
      <c r="F5" s="225"/>
    </row>
    <row r="6" spans="1:6" x14ac:dyDescent="0.2">
      <c r="B6" s="225"/>
      <c r="C6" s="225"/>
      <c r="D6" s="225"/>
      <c r="E6" s="225"/>
      <c r="F6" s="225"/>
    </row>
    <row r="7" spans="1:6" x14ac:dyDescent="0.2">
      <c r="B7" s="225"/>
      <c r="C7" s="225"/>
      <c r="D7" s="225"/>
      <c r="E7" s="225"/>
      <c r="F7" s="225"/>
    </row>
    <row r="8" spans="1:6" x14ac:dyDescent="0.2">
      <c r="B8" s="225"/>
      <c r="C8" s="225"/>
      <c r="D8" s="225"/>
      <c r="E8" s="225"/>
      <c r="F8" s="225"/>
    </row>
    <row r="9" spans="1:6" x14ac:dyDescent="0.2">
      <c r="B9" s="225"/>
      <c r="C9" s="225"/>
      <c r="D9" s="225"/>
      <c r="E9" s="225"/>
      <c r="F9" s="225"/>
    </row>
    <row r="10" spans="1:6" x14ac:dyDescent="0.2">
      <c r="B10" s="225"/>
      <c r="C10" s="225"/>
      <c r="D10" s="225"/>
      <c r="E10" s="225"/>
      <c r="F10" s="225"/>
    </row>
    <row r="11" spans="1:6" x14ac:dyDescent="0.2">
      <c r="B11" s="225"/>
      <c r="C11" s="225"/>
      <c r="D11" s="225"/>
      <c r="E11" s="225"/>
      <c r="F11" s="225"/>
    </row>
    <row r="13" spans="1:6" x14ac:dyDescent="0.2">
      <c r="A13" s="24" t="s">
        <v>74</v>
      </c>
      <c r="B13" s="24" t="s">
        <v>76</v>
      </c>
    </row>
    <row r="14" spans="1:6" x14ac:dyDescent="0.2">
      <c r="B14" s="24" t="s">
        <v>75</v>
      </c>
    </row>
    <row r="15" spans="1:6" x14ac:dyDescent="0.2">
      <c r="B15" s="24" t="s">
        <v>77</v>
      </c>
    </row>
    <row r="16" spans="1:6" x14ac:dyDescent="0.2">
      <c r="B16" s="24" t="s">
        <v>78</v>
      </c>
    </row>
    <row r="17" spans="1:6" x14ac:dyDescent="0.2">
      <c r="B17" s="24" t="s">
        <v>195</v>
      </c>
    </row>
    <row r="18" spans="1:6" x14ac:dyDescent="0.2">
      <c r="B18" s="24" t="s">
        <v>196</v>
      </c>
    </row>
    <row r="20" spans="1:6" x14ac:dyDescent="0.2">
      <c r="A20" s="24" t="s">
        <v>68</v>
      </c>
      <c r="B20" s="24" t="s">
        <v>79</v>
      </c>
    </row>
    <row r="21" spans="1:6" x14ac:dyDescent="0.2">
      <c r="B21" s="24" t="s">
        <v>199</v>
      </c>
    </row>
    <row r="22" spans="1:6" x14ac:dyDescent="0.2">
      <c r="B22" s="24" t="s">
        <v>200</v>
      </c>
    </row>
    <row r="23" spans="1:6" x14ac:dyDescent="0.2">
      <c r="B23" s="24" t="s">
        <v>201</v>
      </c>
      <c r="C23" s="24" t="s">
        <v>249</v>
      </c>
    </row>
    <row r="25" spans="1:6" x14ac:dyDescent="0.2">
      <c r="B25" s="24" t="s">
        <v>80</v>
      </c>
    </row>
    <row r="26" spans="1:6" x14ac:dyDescent="0.2">
      <c r="B26" s="24" t="s">
        <v>82</v>
      </c>
    </row>
    <row r="28" spans="1:6" x14ac:dyDescent="0.2">
      <c r="B28" s="24" t="s">
        <v>81</v>
      </c>
    </row>
    <row r="29" spans="1:6" x14ac:dyDescent="0.2">
      <c r="B29" s="24" t="s">
        <v>83</v>
      </c>
    </row>
    <row r="31" spans="1:6" x14ac:dyDescent="0.2">
      <c r="B31" s="24" t="s">
        <v>84</v>
      </c>
    </row>
    <row r="32" spans="1:6" x14ac:dyDescent="0.2">
      <c r="B32" s="225" t="s">
        <v>85</v>
      </c>
      <c r="C32" s="225"/>
      <c r="D32" s="225"/>
      <c r="E32" s="225"/>
      <c r="F32" s="225"/>
    </row>
    <row r="33" spans="1:6" x14ac:dyDescent="0.2">
      <c r="B33" s="225"/>
      <c r="C33" s="225"/>
      <c r="D33" s="225"/>
      <c r="E33" s="225"/>
      <c r="F33" s="225"/>
    </row>
    <row r="34" spans="1:6" x14ac:dyDescent="0.2">
      <c r="B34" s="225"/>
      <c r="C34" s="225"/>
      <c r="D34" s="225"/>
      <c r="E34" s="225"/>
      <c r="F34" s="225"/>
    </row>
    <row r="35" spans="1:6" x14ac:dyDescent="0.2">
      <c r="B35" s="225"/>
      <c r="C35" s="225"/>
      <c r="D35" s="225"/>
      <c r="E35" s="225"/>
      <c r="F35" s="225"/>
    </row>
    <row r="36" spans="1:6" x14ac:dyDescent="0.2">
      <c r="B36" s="225"/>
      <c r="C36" s="225"/>
      <c r="D36" s="225"/>
      <c r="E36" s="225"/>
      <c r="F36" s="225"/>
    </row>
    <row r="39" spans="1:6" x14ac:dyDescent="0.2">
      <c r="A39" s="24" t="s">
        <v>88</v>
      </c>
    </row>
    <row r="40" spans="1:6" x14ac:dyDescent="0.2">
      <c r="B40" s="24" t="s">
        <v>89</v>
      </c>
    </row>
    <row r="41" spans="1:6" x14ac:dyDescent="0.2">
      <c r="B41" s="24" t="s">
        <v>91</v>
      </c>
    </row>
    <row r="42" spans="1:6" x14ac:dyDescent="0.2">
      <c r="B42" s="24" t="s">
        <v>92</v>
      </c>
    </row>
    <row r="44" spans="1:6" x14ac:dyDescent="0.2">
      <c r="A44" s="24" t="s">
        <v>198</v>
      </c>
    </row>
    <row r="45" spans="1:6" x14ac:dyDescent="0.2">
      <c r="A45" s="26" t="s">
        <v>90</v>
      </c>
      <c r="B45" s="24" t="s">
        <v>86</v>
      </c>
    </row>
    <row r="46" spans="1:6" x14ac:dyDescent="0.2">
      <c r="B46" s="24" t="s">
        <v>87</v>
      </c>
    </row>
    <row r="47" spans="1:6" x14ac:dyDescent="0.2">
      <c r="A47" s="26" t="s">
        <v>90</v>
      </c>
      <c r="B47" s="24" t="s">
        <v>197</v>
      </c>
    </row>
    <row r="48" spans="1:6" x14ac:dyDescent="0.2">
      <c r="A48" s="26"/>
    </row>
  </sheetData>
  <mergeCells count="2">
    <mergeCell ref="B5:F11"/>
    <mergeCell ref="B32:F36"/>
  </mergeCells>
  <phoneticPr fontId="3"/>
  <dataValidations count="1">
    <dataValidation type="decimal" allowBlank="1" showInputMessage="1" showErrorMessage="1" sqref="B1:F18" xr:uid="{00000000-0002-0000-0000-000000000000}">
      <formula1>0.11</formula1>
      <formula2>0.111</formula2>
    </dataValidation>
  </dataValidations>
  <pageMargins left="0.75" right="0.75" top="1" bottom="1" header="0.51200000000000001" footer="0.51200000000000001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IV132"/>
  <sheetViews>
    <sheetView topLeftCell="A25" zoomScale="115" zoomScaleNormal="115" workbookViewId="0">
      <selection activeCell="C34" sqref="C34"/>
    </sheetView>
  </sheetViews>
  <sheetFormatPr defaultColWidth="0" defaultRowHeight="13" x14ac:dyDescent="0.2"/>
  <cols>
    <col min="1" max="1" width="4.26953125" style="1" customWidth="1"/>
    <col min="2" max="2" width="12.453125" style="1" customWidth="1"/>
    <col min="3" max="3" width="54.453125" style="1" customWidth="1"/>
    <col min="4" max="7" width="11.90625" style="1" customWidth="1"/>
    <col min="8" max="8" width="7.08984375" style="1" hidden="1" customWidth="1"/>
    <col min="9" max="254" width="0" style="1" hidden="1" customWidth="1"/>
    <col min="255" max="256" width="9" style="1" hidden="1" customWidth="1"/>
    <col min="257" max="16384" width="6.7265625" style="1" hidden="1"/>
  </cols>
  <sheetData>
    <row r="1" spans="1:7" ht="27.75" customHeight="1" thickBot="1" x14ac:dyDescent="0.25">
      <c r="A1" s="21"/>
      <c r="B1" s="22" t="s">
        <v>31</v>
      </c>
      <c r="C1" s="19"/>
      <c r="D1" s="19"/>
      <c r="E1" s="23"/>
      <c r="F1" s="23"/>
      <c r="G1" s="20"/>
    </row>
    <row r="2" spans="1:7" x14ac:dyDescent="0.2">
      <c r="C2" s="1" t="s">
        <v>34</v>
      </c>
    </row>
    <row r="4" spans="1:7" ht="18" customHeight="1" x14ac:dyDescent="0.2">
      <c r="A4" s="4" t="s">
        <v>6</v>
      </c>
      <c r="B4" s="4"/>
      <c r="C4" s="1" t="s">
        <v>35</v>
      </c>
    </row>
    <row r="5" spans="1:7" x14ac:dyDescent="0.2">
      <c r="B5" s="14" t="s">
        <v>5</v>
      </c>
      <c r="C5" s="10" t="s">
        <v>435</v>
      </c>
    </row>
    <row r="7" spans="1:7" ht="17.25" customHeight="1" x14ac:dyDescent="0.2">
      <c r="A7" s="4" t="s">
        <v>203</v>
      </c>
      <c r="B7" s="4"/>
      <c r="C7" s="1" t="s">
        <v>36</v>
      </c>
    </row>
    <row r="8" spans="1:7" x14ac:dyDescent="0.2">
      <c r="B8" s="15" t="s">
        <v>9</v>
      </c>
      <c r="C8" s="15" t="s">
        <v>4</v>
      </c>
    </row>
    <row r="9" spans="1:7" x14ac:dyDescent="0.2">
      <c r="B9" s="11">
        <v>1</v>
      </c>
      <c r="C9" s="10" t="s">
        <v>427</v>
      </c>
    </row>
    <row r="10" spans="1:7" x14ac:dyDescent="0.2">
      <c r="B10" s="11">
        <v>2</v>
      </c>
      <c r="C10" s="10" t="s">
        <v>428</v>
      </c>
    </row>
    <row r="11" spans="1:7" x14ac:dyDescent="0.2">
      <c r="B11" s="11">
        <v>3</v>
      </c>
      <c r="C11" s="10" t="s">
        <v>335</v>
      </c>
    </row>
    <row r="12" spans="1:7" x14ac:dyDescent="0.2">
      <c r="B12" s="11">
        <v>4</v>
      </c>
      <c r="C12" s="10" t="s">
        <v>334</v>
      </c>
    </row>
    <row r="13" spans="1:7" x14ac:dyDescent="0.2">
      <c r="B13" s="11">
        <v>5</v>
      </c>
      <c r="C13" s="180" t="s">
        <v>368</v>
      </c>
    </row>
    <row r="15" spans="1:7" x14ac:dyDescent="0.2">
      <c r="B15" s="15" t="s">
        <v>202</v>
      </c>
      <c r="C15" s="15" t="s">
        <v>204</v>
      </c>
    </row>
    <row r="16" spans="1:7" x14ac:dyDescent="0.2">
      <c r="B16" s="11">
        <v>1</v>
      </c>
      <c r="C16" s="10" t="s">
        <v>219</v>
      </c>
      <c r="D16" s="113" t="s">
        <v>209</v>
      </c>
      <c r="E16" s="113" t="s">
        <v>210</v>
      </c>
      <c r="F16" s="113"/>
    </row>
    <row r="17" spans="1:7" x14ac:dyDescent="0.2">
      <c r="B17" s="11">
        <v>2</v>
      </c>
      <c r="C17" s="10" t="s">
        <v>205</v>
      </c>
      <c r="D17" s="113" t="s">
        <v>208</v>
      </c>
      <c r="E17" s="113" t="s">
        <v>205</v>
      </c>
      <c r="F17" s="113"/>
    </row>
    <row r="18" spans="1:7" x14ac:dyDescent="0.2">
      <c r="B18" s="11">
        <v>3</v>
      </c>
      <c r="C18" s="10" t="s">
        <v>206</v>
      </c>
      <c r="D18" s="113" t="s">
        <v>211</v>
      </c>
      <c r="E18" s="113" t="s">
        <v>212</v>
      </c>
      <c r="F18" s="113"/>
    </row>
    <row r="19" spans="1:7" x14ac:dyDescent="0.2">
      <c r="B19" s="11">
        <v>4</v>
      </c>
      <c r="C19" s="10" t="s">
        <v>207</v>
      </c>
      <c r="D19" s="113" t="s">
        <v>212</v>
      </c>
      <c r="E19" s="113" t="s">
        <v>207</v>
      </c>
      <c r="F19" s="113"/>
    </row>
    <row r="21" spans="1:7" ht="17.25" customHeight="1" x14ac:dyDescent="0.2">
      <c r="A21" s="4" t="s">
        <v>33</v>
      </c>
      <c r="B21" s="4"/>
      <c r="C21" s="1" t="s">
        <v>37</v>
      </c>
    </row>
    <row r="22" spans="1:7" ht="26" x14ac:dyDescent="0.2">
      <c r="B22" s="114" t="s">
        <v>7</v>
      </c>
      <c r="C22" s="116" t="s">
        <v>8</v>
      </c>
      <c r="D22" s="116" t="s">
        <v>9</v>
      </c>
      <c r="E22" s="117" t="s">
        <v>4</v>
      </c>
      <c r="F22" s="115" t="s">
        <v>215</v>
      </c>
      <c r="G22" s="117" t="s">
        <v>371</v>
      </c>
    </row>
    <row r="23" spans="1:7" x14ac:dyDescent="0.2">
      <c r="B23" s="5">
        <v>1</v>
      </c>
      <c r="C23" s="17" t="s">
        <v>342</v>
      </c>
      <c r="D23" s="16">
        <v>1</v>
      </c>
      <c r="E23" s="8" t="str">
        <f>VLOOKUP(D23,B$9:C$13,2,FALSE)</f>
        <v>家電</v>
      </c>
      <c r="F23" s="17">
        <v>1</v>
      </c>
      <c r="G23" s="17">
        <v>1</v>
      </c>
    </row>
    <row r="24" spans="1:7" x14ac:dyDescent="0.2">
      <c r="B24" s="6">
        <v>2</v>
      </c>
      <c r="C24" s="17" t="s">
        <v>437</v>
      </c>
      <c r="D24" s="12">
        <v>1</v>
      </c>
      <c r="E24" s="8" t="str">
        <f t="shared" ref="E24:E44" si="0">VLOOKUP(D24,B$9:C$13,2,FALSE)</f>
        <v>家電</v>
      </c>
      <c r="F24" s="17">
        <v>3</v>
      </c>
      <c r="G24" s="17">
        <v>1.4</v>
      </c>
    </row>
    <row r="25" spans="1:7" x14ac:dyDescent="0.2">
      <c r="B25" s="6">
        <v>3</v>
      </c>
      <c r="C25" s="17" t="s">
        <v>344</v>
      </c>
      <c r="D25" s="12">
        <v>1</v>
      </c>
      <c r="E25" s="8" t="str">
        <f t="shared" si="0"/>
        <v>家電</v>
      </c>
      <c r="F25" s="17">
        <v>3</v>
      </c>
      <c r="G25" s="17">
        <v>1</v>
      </c>
    </row>
    <row r="26" spans="1:7" x14ac:dyDescent="0.2">
      <c r="B26" s="6">
        <v>4</v>
      </c>
      <c r="C26" s="209" t="s">
        <v>339</v>
      </c>
      <c r="D26" s="12">
        <v>2</v>
      </c>
      <c r="E26" s="8" t="str">
        <f t="shared" si="0"/>
        <v>冷暖房</v>
      </c>
      <c r="F26" s="17">
        <v>1</v>
      </c>
      <c r="G26" s="17">
        <v>1.5</v>
      </c>
    </row>
    <row r="27" spans="1:7" x14ac:dyDescent="0.2">
      <c r="B27" s="6">
        <v>5</v>
      </c>
      <c r="C27" s="209" t="s">
        <v>418</v>
      </c>
      <c r="D27" s="12">
        <v>2</v>
      </c>
      <c r="E27" s="8" t="str">
        <f t="shared" si="0"/>
        <v>冷暖房</v>
      </c>
      <c r="F27" s="17">
        <v>3</v>
      </c>
      <c r="G27" s="17">
        <v>1.4</v>
      </c>
    </row>
    <row r="28" spans="1:7" x14ac:dyDescent="0.2">
      <c r="B28" s="6">
        <v>6</v>
      </c>
      <c r="C28" s="209" t="s">
        <v>440</v>
      </c>
      <c r="D28" s="12">
        <v>2</v>
      </c>
      <c r="E28" s="8" t="str">
        <f t="shared" si="0"/>
        <v>冷暖房</v>
      </c>
      <c r="F28" s="17">
        <v>1</v>
      </c>
      <c r="G28" s="17">
        <v>1.3</v>
      </c>
    </row>
    <row r="29" spans="1:7" x14ac:dyDescent="0.2">
      <c r="B29" s="6">
        <v>7</v>
      </c>
      <c r="C29" s="17" t="s">
        <v>441</v>
      </c>
      <c r="D29" s="12">
        <v>3</v>
      </c>
      <c r="E29" s="8" t="str">
        <f t="shared" si="0"/>
        <v>給湯</v>
      </c>
      <c r="F29" s="17">
        <v>1</v>
      </c>
      <c r="G29" s="17">
        <v>1</v>
      </c>
    </row>
    <row r="30" spans="1:7" x14ac:dyDescent="0.2">
      <c r="B30" s="6">
        <v>8</v>
      </c>
      <c r="C30" s="17" t="s">
        <v>346</v>
      </c>
      <c r="D30" s="12">
        <v>3</v>
      </c>
      <c r="E30" s="8" t="str">
        <f t="shared" si="0"/>
        <v>給湯</v>
      </c>
      <c r="F30" s="17">
        <v>3</v>
      </c>
      <c r="G30" s="17">
        <v>1.5</v>
      </c>
    </row>
    <row r="31" spans="1:7" x14ac:dyDescent="0.2">
      <c r="B31" s="6">
        <v>9</v>
      </c>
      <c r="C31" s="17" t="s">
        <v>347</v>
      </c>
      <c r="D31" s="12">
        <v>3</v>
      </c>
      <c r="E31" s="8" t="str">
        <f t="shared" si="0"/>
        <v>給湯</v>
      </c>
      <c r="F31" s="17">
        <v>3</v>
      </c>
      <c r="G31" s="17">
        <v>1.4</v>
      </c>
    </row>
    <row r="32" spans="1:7" x14ac:dyDescent="0.2">
      <c r="B32" s="6">
        <v>10</v>
      </c>
      <c r="C32" s="17" t="s">
        <v>348</v>
      </c>
      <c r="D32" s="12">
        <v>4</v>
      </c>
      <c r="E32" s="8" t="str">
        <f t="shared" si="0"/>
        <v>車</v>
      </c>
      <c r="F32" s="17">
        <v>3</v>
      </c>
      <c r="G32" s="17">
        <v>1.5</v>
      </c>
    </row>
    <row r="33" spans="1:7" x14ac:dyDescent="0.2">
      <c r="B33" s="6">
        <v>11</v>
      </c>
      <c r="C33" s="17" t="s">
        <v>349</v>
      </c>
      <c r="D33" s="12">
        <v>4</v>
      </c>
      <c r="E33" s="8" t="str">
        <f t="shared" si="0"/>
        <v>車</v>
      </c>
      <c r="F33" s="17">
        <v>1</v>
      </c>
      <c r="G33" s="17">
        <v>1.4</v>
      </c>
    </row>
    <row r="34" spans="1:7" x14ac:dyDescent="0.2">
      <c r="B34" s="6">
        <v>12</v>
      </c>
      <c r="C34" s="17" t="s">
        <v>442</v>
      </c>
      <c r="D34" s="12">
        <v>4</v>
      </c>
      <c r="E34" s="8" t="str">
        <f t="shared" si="0"/>
        <v>車</v>
      </c>
      <c r="F34" s="17">
        <v>1</v>
      </c>
      <c r="G34" s="17">
        <v>1.3</v>
      </c>
    </row>
    <row r="35" spans="1:7" x14ac:dyDescent="0.2">
      <c r="B35" s="6">
        <v>13</v>
      </c>
      <c r="C35" s="17" t="s">
        <v>351</v>
      </c>
      <c r="D35" s="12">
        <v>5</v>
      </c>
      <c r="E35" s="8" t="str">
        <f t="shared" si="0"/>
        <v>再ｴﾈ・意識</v>
      </c>
      <c r="F35" s="17">
        <v>1</v>
      </c>
      <c r="G35" s="17">
        <v>1.5</v>
      </c>
    </row>
    <row r="36" spans="1:7" x14ac:dyDescent="0.2">
      <c r="B36" s="6">
        <v>14</v>
      </c>
      <c r="C36" s="17" t="s">
        <v>419</v>
      </c>
      <c r="D36" s="12">
        <v>5</v>
      </c>
      <c r="E36" s="8" t="str">
        <f t="shared" si="0"/>
        <v>再ｴﾈ・意識</v>
      </c>
      <c r="F36" s="17">
        <v>1</v>
      </c>
      <c r="G36" s="17">
        <v>1.3</v>
      </c>
    </row>
    <row r="37" spans="1:7" x14ac:dyDescent="0.2">
      <c r="B37" s="6">
        <v>15</v>
      </c>
      <c r="C37" s="17" t="s">
        <v>438</v>
      </c>
      <c r="D37" s="12">
        <v>5</v>
      </c>
      <c r="E37" s="8" t="str">
        <f t="shared" si="0"/>
        <v>再ｴﾈ・意識</v>
      </c>
      <c r="F37" s="17">
        <v>3</v>
      </c>
      <c r="G37" s="17">
        <v>1.3</v>
      </c>
    </row>
    <row r="38" spans="1:7" x14ac:dyDescent="0.2">
      <c r="B38" s="6">
        <v>16</v>
      </c>
      <c r="C38" s="18" t="s">
        <v>439</v>
      </c>
      <c r="D38" s="13">
        <v>5</v>
      </c>
      <c r="E38" s="8" t="str">
        <f t="shared" si="0"/>
        <v>再ｴﾈ・意識</v>
      </c>
      <c r="F38" s="18">
        <v>1</v>
      </c>
      <c r="G38" s="18">
        <v>1.2</v>
      </c>
    </row>
    <row r="39" spans="1:7" hidden="1" x14ac:dyDescent="0.2">
      <c r="B39" s="6">
        <v>17</v>
      </c>
      <c r="C39" s="17"/>
      <c r="D39" s="12"/>
      <c r="E39" s="8" t="e">
        <f t="shared" si="0"/>
        <v>#N/A</v>
      </c>
      <c r="F39" s="17"/>
      <c r="G39" s="17"/>
    </row>
    <row r="40" spans="1:7" hidden="1" x14ac:dyDescent="0.2">
      <c r="B40" s="6">
        <v>18</v>
      </c>
      <c r="C40" s="17"/>
      <c r="D40" s="12"/>
      <c r="E40" s="8" t="e">
        <f t="shared" si="0"/>
        <v>#N/A</v>
      </c>
      <c r="F40" s="17"/>
      <c r="G40" s="17"/>
    </row>
    <row r="41" spans="1:7" hidden="1" x14ac:dyDescent="0.2">
      <c r="B41" s="6">
        <v>19</v>
      </c>
      <c r="C41" s="17"/>
      <c r="D41" s="12"/>
      <c r="E41" s="8" t="e">
        <f t="shared" si="0"/>
        <v>#N/A</v>
      </c>
      <c r="F41" s="17"/>
      <c r="G41" s="17"/>
    </row>
    <row r="42" spans="1:7" hidden="1" x14ac:dyDescent="0.2">
      <c r="B42" s="6">
        <v>20</v>
      </c>
      <c r="C42" s="17"/>
      <c r="D42" s="12"/>
      <c r="E42" s="8" t="e">
        <f t="shared" si="0"/>
        <v>#N/A</v>
      </c>
      <c r="F42" s="17"/>
      <c r="G42" s="17"/>
    </row>
    <row r="43" spans="1:7" hidden="1" x14ac:dyDescent="0.2">
      <c r="B43" s="6">
        <v>21</v>
      </c>
      <c r="C43" s="17"/>
      <c r="D43" s="12"/>
      <c r="E43" s="8" t="e">
        <f t="shared" si="0"/>
        <v>#N/A</v>
      </c>
      <c r="F43" s="17"/>
      <c r="G43" s="17"/>
    </row>
    <row r="44" spans="1:7" hidden="1" x14ac:dyDescent="0.2">
      <c r="B44" s="6">
        <v>22</v>
      </c>
      <c r="C44" s="18"/>
      <c r="D44" s="13"/>
      <c r="E44" s="9" t="e">
        <f t="shared" si="0"/>
        <v>#N/A</v>
      </c>
      <c r="F44" s="18"/>
      <c r="G44" s="18"/>
    </row>
    <row r="46" spans="1:7" ht="17.25" customHeight="1" x14ac:dyDescent="0.2">
      <c r="A46" s="4" t="s">
        <v>119</v>
      </c>
      <c r="B46" s="4"/>
      <c r="C46" s="1" t="s">
        <v>312</v>
      </c>
    </row>
    <row r="47" spans="1:7" ht="17.25" customHeight="1" x14ac:dyDescent="0.2">
      <c r="C47" s="1" t="s">
        <v>313</v>
      </c>
    </row>
    <row r="48" spans="1:7" ht="17.25" customHeight="1" x14ac:dyDescent="0.2">
      <c r="C48" s="1" t="s">
        <v>314</v>
      </c>
    </row>
    <row r="49" spans="2:6" ht="17.25" customHeight="1" x14ac:dyDescent="0.2">
      <c r="C49" s="1" t="s">
        <v>315</v>
      </c>
    </row>
    <row r="50" spans="2:6" ht="17.25" customHeight="1" x14ac:dyDescent="0.2">
      <c r="D50" s="11" t="s">
        <v>301</v>
      </c>
      <c r="E50" s="11" t="s">
        <v>124</v>
      </c>
      <c r="F50" s="11" t="s">
        <v>125</v>
      </c>
    </row>
    <row r="51" spans="2:6" ht="15.75" customHeight="1" x14ac:dyDescent="0.2">
      <c r="B51" s="7" t="s">
        <v>117</v>
      </c>
      <c r="C51" s="105" t="s">
        <v>307</v>
      </c>
      <c r="D51" s="10"/>
    </row>
    <row r="52" spans="2:6" ht="15.75" customHeight="1" x14ac:dyDescent="0.2">
      <c r="B52" s="8"/>
      <c r="C52" s="105" t="s">
        <v>308</v>
      </c>
      <c r="D52" s="10">
        <v>373.73</v>
      </c>
    </row>
    <row r="53" spans="2:6" ht="15.75" customHeight="1" x14ac:dyDescent="0.2">
      <c r="B53" s="8" t="s">
        <v>302</v>
      </c>
      <c r="C53" s="105" t="s">
        <v>316</v>
      </c>
      <c r="E53" s="10">
        <v>21.92</v>
      </c>
      <c r="F53" s="10">
        <v>120</v>
      </c>
    </row>
    <row r="54" spans="2:6" ht="15.75" customHeight="1" x14ac:dyDescent="0.2">
      <c r="B54" s="8"/>
      <c r="C54" s="105" t="s">
        <v>296</v>
      </c>
      <c r="E54" s="155">
        <v>28.35</v>
      </c>
      <c r="F54" s="155">
        <v>300</v>
      </c>
    </row>
    <row r="55" spans="2:6" ht="15.75" customHeight="1" x14ac:dyDescent="0.2">
      <c r="B55" s="8"/>
      <c r="C55" s="105" t="s">
        <v>297</v>
      </c>
      <c r="E55" s="155">
        <f>33.32</f>
        <v>33.32</v>
      </c>
    </row>
    <row r="56" spans="2:6" ht="15.75" customHeight="1" x14ac:dyDescent="0.2">
      <c r="B56" s="8"/>
      <c r="C56" s="105" t="s">
        <v>318</v>
      </c>
      <c r="E56" s="155">
        <f>-2.32+2.64</f>
        <v>0.32000000000000028</v>
      </c>
    </row>
    <row r="57" spans="2:6" ht="15.75" customHeight="1" x14ac:dyDescent="0.2">
      <c r="B57" s="7" t="s">
        <v>118</v>
      </c>
      <c r="C57" s="105" t="s">
        <v>317</v>
      </c>
      <c r="D57" s="10">
        <v>745.2</v>
      </c>
      <c r="E57">
        <v>156.93</v>
      </c>
      <c r="F57" s="10">
        <v>20</v>
      </c>
    </row>
    <row r="58" spans="2:6" ht="15.75" customHeight="1" x14ac:dyDescent="0.2">
      <c r="B58" s="8" t="s">
        <v>303</v>
      </c>
      <c r="C58" s="105" t="s">
        <v>298</v>
      </c>
      <c r="D58" s="10">
        <v>1337.4</v>
      </c>
      <c r="E58">
        <v>127.32</v>
      </c>
      <c r="F58" s="10">
        <v>50</v>
      </c>
    </row>
    <row r="59" spans="2:6" ht="15.75" customHeight="1" x14ac:dyDescent="0.2">
      <c r="B59" s="8"/>
      <c r="C59" s="105" t="s">
        <v>299</v>
      </c>
      <c r="D59" s="10">
        <v>1595.9</v>
      </c>
      <c r="E59" s="10">
        <v>146.91</v>
      </c>
    </row>
    <row r="60" spans="2:6" ht="15.75" customHeight="1" x14ac:dyDescent="0.2">
      <c r="B60" s="7" t="s">
        <v>114</v>
      </c>
      <c r="C60" s="105" t="s">
        <v>300</v>
      </c>
      <c r="D60" s="10"/>
      <c r="E60" s="10">
        <v>756.6</v>
      </c>
      <c r="F60" s="10"/>
    </row>
    <row r="61" spans="2:6" ht="15.75" customHeight="1" x14ac:dyDescent="0.2">
      <c r="B61" s="9" t="s">
        <v>303</v>
      </c>
      <c r="C61" s="105" t="s">
        <v>287</v>
      </c>
      <c r="D61" s="10"/>
      <c r="E61" s="10"/>
    </row>
    <row r="62" spans="2:6" ht="15.75" customHeight="1" x14ac:dyDescent="0.2">
      <c r="B62" s="11" t="s">
        <v>304</v>
      </c>
      <c r="C62" s="103"/>
      <c r="E62" s="158">
        <f>1490/18</f>
        <v>82.777777777777771</v>
      </c>
    </row>
    <row r="63" spans="2:6" ht="15.75" customHeight="1" x14ac:dyDescent="0.2">
      <c r="B63" s="11" t="s">
        <v>305</v>
      </c>
      <c r="C63" s="103"/>
      <c r="E63" s="10">
        <v>134</v>
      </c>
    </row>
    <row r="65" spans="1:5" ht="19.5" customHeight="1" x14ac:dyDescent="0.2">
      <c r="A65" s="4" t="s">
        <v>130</v>
      </c>
      <c r="B65" s="4"/>
      <c r="C65" s="1" t="s">
        <v>194</v>
      </c>
    </row>
    <row r="66" spans="1:5" ht="4.5" customHeight="1" x14ac:dyDescent="0.2"/>
    <row r="67" spans="1:5" ht="17.25" customHeight="1" x14ac:dyDescent="0.2">
      <c r="B67" s="11" t="s">
        <v>117</v>
      </c>
      <c r="C67" s="103" t="s">
        <v>286</v>
      </c>
      <c r="D67" s="10">
        <v>0.55000000000000004</v>
      </c>
      <c r="E67" s="1" t="s">
        <v>131</v>
      </c>
    </row>
    <row r="68" spans="1:5" ht="17.25" customHeight="1" x14ac:dyDescent="0.2">
      <c r="B68" s="11" t="s">
        <v>118</v>
      </c>
      <c r="C68" s="103" t="s">
        <v>250</v>
      </c>
      <c r="D68" s="10">
        <v>2.23</v>
      </c>
      <c r="E68" s="1" t="s">
        <v>132</v>
      </c>
    </row>
    <row r="69" spans="1:5" ht="17.25" customHeight="1" x14ac:dyDescent="0.2">
      <c r="B69" s="11" t="s">
        <v>114</v>
      </c>
      <c r="C69" s="103" t="s">
        <v>251</v>
      </c>
      <c r="D69" s="10">
        <v>5.98</v>
      </c>
      <c r="E69" s="1" t="s">
        <v>132</v>
      </c>
    </row>
    <row r="70" spans="1:5" ht="17.25" customHeight="1" x14ac:dyDescent="0.2">
      <c r="B70" s="11" t="s">
        <v>25</v>
      </c>
      <c r="C70" s="103" t="s">
        <v>250</v>
      </c>
      <c r="D70" s="10">
        <v>2.492</v>
      </c>
      <c r="E70" s="1" t="s">
        <v>133</v>
      </c>
    </row>
    <row r="71" spans="1:5" ht="17.25" customHeight="1" x14ac:dyDescent="0.2">
      <c r="B71" s="11" t="s">
        <v>29</v>
      </c>
      <c r="C71" s="103" t="s">
        <v>250</v>
      </c>
      <c r="D71" s="10">
        <v>2.3220000000000001</v>
      </c>
      <c r="E71" s="1" t="s">
        <v>133</v>
      </c>
    </row>
    <row r="73" spans="1:5" ht="19.5" customHeight="1" x14ac:dyDescent="0.2">
      <c r="A73" s="4" t="s">
        <v>134</v>
      </c>
      <c r="B73" s="4"/>
      <c r="C73" s="1" t="s">
        <v>193</v>
      </c>
    </row>
    <row r="74" spans="1:5" ht="6.75" customHeight="1" x14ac:dyDescent="0.2"/>
    <row r="75" spans="1:5" ht="17.25" customHeight="1" x14ac:dyDescent="0.2">
      <c r="C75" s="10" t="s">
        <v>162</v>
      </c>
    </row>
    <row r="77" spans="1:5" ht="17.25" customHeight="1" x14ac:dyDescent="0.2">
      <c r="A77" s="4" t="s">
        <v>221</v>
      </c>
      <c r="B77" s="4"/>
      <c r="C77" s="1" t="s">
        <v>222</v>
      </c>
    </row>
    <row r="78" spans="1:5" ht="6" customHeight="1" x14ac:dyDescent="0.2"/>
    <row r="79" spans="1:5" ht="16.5" customHeight="1" x14ac:dyDescent="0.2">
      <c r="C79" s="10" t="s">
        <v>224</v>
      </c>
    </row>
    <row r="83" spans="5:7" hidden="1" x14ac:dyDescent="0.2">
      <c r="E83" s="1" t="s">
        <v>189</v>
      </c>
      <c r="G83" s="1" t="s">
        <v>223</v>
      </c>
    </row>
    <row r="84" spans="5:7" hidden="1" x14ac:dyDescent="0.2">
      <c r="E84" s="1" t="s">
        <v>136</v>
      </c>
      <c r="G84" s="1" t="s">
        <v>224</v>
      </c>
    </row>
    <row r="85" spans="5:7" hidden="1" x14ac:dyDescent="0.2">
      <c r="E85" s="1" t="s">
        <v>137</v>
      </c>
    </row>
    <row r="86" spans="5:7" hidden="1" x14ac:dyDescent="0.2">
      <c r="E86" s="1" t="s">
        <v>138</v>
      </c>
    </row>
    <row r="87" spans="5:7" hidden="1" x14ac:dyDescent="0.2">
      <c r="E87" s="1" t="s">
        <v>139</v>
      </c>
    </row>
    <row r="88" spans="5:7" hidden="1" x14ac:dyDescent="0.2">
      <c r="E88" s="1" t="s">
        <v>140</v>
      </c>
    </row>
    <row r="89" spans="5:7" hidden="1" x14ac:dyDescent="0.2">
      <c r="E89" s="1" t="s">
        <v>141</v>
      </c>
    </row>
    <row r="90" spans="5:7" hidden="1" x14ac:dyDescent="0.2">
      <c r="E90" s="1" t="s">
        <v>142</v>
      </c>
    </row>
    <row r="91" spans="5:7" hidden="1" x14ac:dyDescent="0.2">
      <c r="E91" s="1" t="s">
        <v>143</v>
      </c>
    </row>
    <row r="92" spans="5:7" hidden="1" x14ac:dyDescent="0.2">
      <c r="E92" s="1" t="s">
        <v>144</v>
      </c>
    </row>
    <row r="93" spans="5:7" hidden="1" x14ac:dyDescent="0.2">
      <c r="E93" s="1" t="s">
        <v>145</v>
      </c>
    </row>
    <row r="94" spans="5:7" hidden="1" x14ac:dyDescent="0.2">
      <c r="E94" s="1" t="s">
        <v>146</v>
      </c>
    </row>
    <row r="95" spans="5:7" hidden="1" x14ac:dyDescent="0.2">
      <c r="E95" s="1" t="s">
        <v>147</v>
      </c>
    </row>
    <row r="96" spans="5:7" hidden="1" x14ac:dyDescent="0.2">
      <c r="E96" s="1" t="s">
        <v>148</v>
      </c>
    </row>
    <row r="97" spans="5:5" hidden="1" x14ac:dyDescent="0.2">
      <c r="E97" s="1" t="s">
        <v>149</v>
      </c>
    </row>
    <row r="98" spans="5:5" hidden="1" x14ac:dyDescent="0.2">
      <c r="E98" s="1" t="s">
        <v>150</v>
      </c>
    </row>
    <row r="99" spans="5:5" hidden="1" x14ac:dyDescent="0.2">
      <c r="E99" s="1" t="s">
        <v>151</v>
      </c>
    </row>
    <row r="100" spans="5:5" hidden="1" x14ac:dyDescent="0.2">
      <c r="E100" s="1" t="s">
        <v>152</v>
      </c>
    </row>
    <row r="101" spans="5:5" hidden="1" x14ac:dyDescent="0.2">
      <c r="E101" s="1" t="s">
        <v>153</v>
      </c>
    </row>
    <row r="102" spans="5:5" hidden="1" x14ac:dyDescent="0.2">
      <c r="E102" s="1" t="s">
        <v>154</v>
      </c>
    </row>
    <row r="103" spans="5:5" hidden="1" x14ac:dyDescent="0.2">
      <c r="E103" s="1" t="s">
        <v>155</v>
      </c>
    </row>
    <row r="104" spans="5:5" hidden="1" x14ac:dyDescent="0.2">
      <c r="E104" s="1" t="s">
        <v>156</v>
      </c>
    </row>
    <row r="105" spans="5:5" hidden="1" x14ac:dyDescent="0.2">
      <c r="E105" s="1" t="s">
        <v>157</v>
      </c>
    </row>
    <row r="106" spans="5:5" hidden="1" x14ac:dyDescent="0.2">
      <c r="E106" s="1" t="s">
        <v>158</v>
      </c>
    </row>
    <row r="107" spans="5:5" hidden="1" x14ac:dyDescent="0.2">
      <c r="E107" s="1" t="s">
        <v>159</v>
      </c>
    </row>
    <row r="108" spans="5:5" hidden="1" x14ac:dyDescent="0.2">
      <c r="E108" s="1" t="s">
        <v>160</v>
      </c>
    </row>
    <row r="109" spans="5:5" hidden="1" x14ac:dyDescent="0.2">
      <c r="E109" s="1" t="s">
        <v>161</v>
      </c>
    </row>
    <row r="110" spans="5:5" hidden="1" x14ac:dyDescent="0.2">
      <c r="E110" s="1" t="s">
        <v>162</v>
      </c>
    </row>
    <row r="111" spans="5:5" hidden="1" x14ac:dyDescent="0.2">
      <c r="E111" s="1" t="s">
        <v>163</v>
      </c>
    </row>
    <row r="112" spans="5:5" hidden="1" x14ac:dyDescent="0.2">
      <c r="E112" s="1" t="s">
        <v>164</v>
      </c>
    </row>
    <row r="113" spans="5:5" hidden="1" x14ac:dyDescent="0.2">
      <c r="E113" s="1" t="s">
        <v>165</v>
      </c>
    </row>
    <row r="114" spans="5:5" hidden="1" x14ac:dyDescent="0.2">
      <c r="E114" s="1" t="s">
        <v>166</v>
      </c>
    </row>
    <row r="115" spans="5:5" hidden="1" x14ac:dyDescent="0.2">
      <c r="E115" s="1" t="s">
        <v>167</v>
      </c>
    </row>
    <row r="116" spans="5:5" hidden="1" x14ac:dyDescent="0.2">
      <c r="E116" s="1" t="s">
        <v>168</v>
      </c>
    </row>
    <row r="117" spans="5:5" hidden="1" x14ac:dyDescent="0.2">
      <c r="E117" s="1" t="s">
        <v>169</v>
      </c>
    </row>
    <row r="118" spans="5:5" hidden="1" x14ac:dyDescent="0.2">
      <c r="E118" s="1" t="s">
        <v>170</v>
      </c>
    </row>
    <row r="119" spans="5:5" hidden="1" x14ac:dyDescent="0.2">
      <c r="E119" s="1" t="s">
        <v>171</v>
      </c>
    </row>
    <row r="120" spans="5:5" hidden="1" x14ac:dyDescent="0.2">
      <c r="E120" s="1" t="s">
        <v>172</v>
      </c>
    </row>
    <row r="121" spans="5:5" hidden="1" x14ac:dyDescent="0.2">
      <c r="E121" s="1" t="s">
        <v>173</v>
      </c>
    </row>
    <row r="122" spans="5:5" hidden="1" x14ac:dyDescent="0.2">
      <c r="E122" s="1" t="s">
        <v>174</v>
      </c>
    </row>
    <row r="123" spans="5:5" hidden="1" x14ac:dyDescent="0.2">
      <c r="E123" s="1" t="s">
        <v>175</v>
      </c>
    </row>
    <row r="124" spans="5:5" hidden="1" x14ac:dyDescent="0.2">
      <c r="E124" s="1" t="s">
        <v>176</v>
      </c>
    </row>
    <row r="125" spans="5:5" hidden="1" x14ac:dyDescent="0.2">
      <c r="E125" s="1" t="s">
        <v>177</v>
      </c>
    </row>
    <row r="126" spans="5:5" hidden="1" x14ac:dyDescent="0.2">
      <c r="E126" s="1" t="s">
        <v>178</v>
      </c>
    </row>
    <row r="127" spans="5:5" hidden="1" x14ac:dyDescent="0.2">
      <c r="E127" s="1" t="s">
        <v>179</v>
      </c>
    </row>
    <row r="128" spans="5:5" hidden="1" x14ac:dyDescent="0.2">
      <c r="E128" s="1" t="s">
        <v>180</v>
      </c>
    </row>
    <row r="129" spans="5:5" hidden="1" x14ac:dyDescent="0.2">
      <c r="E129" s="1" t="s">
        <v>181</v>
      </c>
    </row>
    <row r="130" spans="5:5" hidden="1" x14ac:dyDescent="0.2">
      <c r="E130" s="1" t="s">
        <v>182</v>
      </c>
    </row>
    <row r="131" spans="5:5" hidden="1" x14ac:dyDescent="0.2">
      <c r="E131" s="1" t="s">
        <v>183</v>
      </c>
    </row>
    <row r="132" spans="5:5" hidden="1" x14ac:dyDescent="0.2">
      <c r="E132" s="1" t="s">
        <v>184</v>
      </c>
    </row>
  </sheetData>
  <phoneticPr fontId="3"/>
  <dataValidations count="8">
    <dataValidation type="decimal" allowBlank="1" showInputMessage="1" showErrorMessage="1" sqref="C45:D45 A72:F74 A67:B71 C76:C78 C80 A64:D66 D75:F65536 C1:C4 B1:B13 H1:IW1048576 E23:E45 A1:A6 C6:C8 A14:C15 A16:B19 A8:A13 D1:G19 F45 A23:B63 A81:C65536 G85:G65536 G67:G82 A75:B80 F55:F56 C46:C49 C62:D63 D54:D56 F59 D46:F50 E64:G64 F61:F63 A20:G22" xr:uid="{00000000-0002-0000-0100-000000000000}">
      <formula1>0.00001</formula1>
      <formula2>0.000011</formula2>
    </dataValidation>
    <dataValidation type="whole" allowBlank="1" showInputMessage="1" showErrorMessage="1" sqref="D23:D44 F23:F44" xr:uid="{00000000-0002-0000-0100-000001000000}">
      <formula1>1</formula1>
      <formula2>5</formula2>
    </dataValidation>
    <dataValidation type="list" allowBlank="1" showInputMessage="1" showErrorMessage="1" sqref="C75" xr:uid="{00000000-0002-0000-0100-000002000000}">
      <formula1>$E$83:$E$132</formula1>
    </dataValidation>
    <dataValidation type="list" showInputMessage="1" showErrorMessage="1" sqref="C19" xr:uid="{00000000-0002-0000-0100-000003000000}">
      <formula1>$D$19:$E$19</formula1>
    </dataValidation>
    <dataValidation type="list" showInputMessage="1" showErrorMessage="1" sqref="C18" xr:uid="{00000000-0002-0000-0100-000004000000}">
      <formula1>$D$18:$E$18</formula1>
    </dataValidation>
    <dataValidation type="list" showInputMessage="1" showErrorMessage="1" sqref="C17" xr:uid="{00000000-0002-0000-0100-000005000000}">
      <formula1>$D$17:$E$17</formula1>
    </dataValidation>
    <dataValidation type="list" showInputMessage="1" showErrorMessage="1" sqref="C16" xr:uid="{00000000-0002-0000-0100-000006000000}">
      <formula1>$D$16:$E$16</formula1>
    </dataValidation>
    <dataValidation type="list" allowBlank="1" showInputMessage="1" showErrorMessage="1" sqref="C79" xr:uid="{00000000-0002-0000-0100-000007000000}">
      <formula1>$G$83:$G$84</formula1>
    </dataValidation>
  </dataValidations>
  <pageMargins left="0.75" right="0.75" top="1" bottom="1" header="0.51200000000000001" footer="0.51200000000000001"/>
  <pageSetup paperSize="9" orientation="portrait" horizontalDpi="4294967293" verticalDpi="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M43"/>
  <sheetViews>
    <sheetView workbookViewId="0"/>
  </sheetViews>
  <sheetFormatPr defaultColWidth="9" defaultRowHeight="13" x14ac:dyDescent="0.2"/>
  <cols>
    <col min="1" max="11" width="7.26953125" style="24" customWidth="1"/>
    <col min="12" max="12" width="8.453125" style="24" customWidth="1"/>
    <col min="13" max="13" width="3.90625" style="24" customWidth="1"/>
    <col min="14" max="16384" width="9" style="24"/>
  </cols>
  <sheetData>
    <row r="1" spans="1:12" x14ac:dyDescent="0.2">
      <c r="A1" s="24" t="str">
        <f>初期設定!C5</f>
        <v>京都COOL CHOICE 相談</v>
      </c>
    </row>
    <row r="2" spans="1:12" ht="25.5" x14ac:dyDescent="0.2">
      <c r="A2" s="65" t="s">
        <v>71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4" spans="1:12" x14ac:dyDescent="0.2">
      <c r="A4" s="24" t="s">
        <v>70</v>
      </c>
    </row>
    <row r="5" spans="1:12" ht="12" customHeight="1" x14ac:dyDescent="0.2">
      <c r="L5" s="150" t="s">
        <v>247</v>
      </c>
    </row>
    <row r="6" spans="1:12" x14ac:dyDescent="0.2">
      <c r="A6" s="24" t="s">
        <v>100</v>
      </c>
    </row>
    <row r="7" spans="1:12" ht="7.5" customHeight="1" x14ac:dyDescent="0.2"/>
    <row r="8" spans="1:12" ht="59.25" customHeight="1" x14ac:dyDescent="0.2">
      <c r="A8" s="73"/>
      <c r="B8" s="73"/>
      <c r="C8" s="73"/>
      <c r="D8" s="73"/>
      <c r="E8" s="73"/>
      <c r="F8" s="73"/>
      <c r="G8" s="73"/>
      <c r="H8" s="73"/>
      <c r="I8" s="233" t="str">
        <f>"　　1　"&amp;初期設定!C16&amp;L5&amp;"　　2　"&amp;初期設定!C17&amp;L5&amp;"　　3　"&amp;初期設定!C18&amp;L5&amp;"　　4　"&amp;初期設定!C19</f>
        <v>　　1　できている
　　2　半分くらい
　　3　できていない
　　4　持っていない・関係ない</v>
      </c>
      <c r="J8" s="233"/>
      <c r="K8" s="233"/>
      <c r="L8" s="233"/>
    </row>
    <row r="9" spans="1:12" ht="24.75" customHeight="1" x14ac:dyDescent="0.2">
      <c r="A9" s="226" t="str">
        <f>"("&amp;初期設定!B23&amp;")"&amp;初期設定!C23</f>
        <v>(1)冷蔵庫を1台にする</v>
      </c>
      <c r="B9" s="226"/>
      <c r="C9" s="226"/>
      <c r="D9" s="226"/>
      <c r="E9" s="226"/>
      <c r="F9" s="226"/>
      <c r="G9" s="226"/>
      <c r="H9" s="226"/>
      <c r="I9" s="74">
        <v>1</v>
      </c>
      <c r="J9" s="74">
        <v>2</v>
      </c>
      <c r="K9" s="74">
        <v>3</v>
      </c>
      <c r="L9" s="74">
        <v>4</v>
      </c>
    </row>
    <row r="10" spans="1:12" ht="24.75" customHeight="1" x14ac:dyDescent="0.2">
      <c r="A10" s="226" t="str">
        <f>"("&amp;初期設定!B24&amp;")"&amp;初期設定!C24</f>
        <v>(2)照明をLEDにする</v>
      </c>
      <c r="B10" s="226"/>
      <c r="C10" s="226"/>
      <c r="D10" s="226"/>
      <c r="E10" s="226"/>
      <c r="F10" s="226"/>
      <c r="G10" s="226"/>
      <c r="H10" s="226"/>
      <c r="I10" s="74">
        <v>1</v>
      </c>
      <c r="J10" s="74">
        <v>2</v>
      </c>
      <c r="K10" s="74">
        <v>3</v>
      </c>
      <c r="L10" s="74">
        <v>4</v>
      </c>
    </row>
    <row r="11" spans="1:12" ht="24.75" customHeight="1" x14ac:dyDescent="0.2">
      <c r="A11" s="226" t="str">
        <f>"("&amp;初期設定!B25&amp;")"&amp;初期設定!C25</f>
        <v>(3)テレビや冷蔵庫、便座など、省エネ設定にして使う</v>
      </c>
      <c r="B11" s="226"/>
      <c r="C11" s="226"/>
      <c r="D11" s="226"/>
      <c r="E11" s="226"/>
      <c r="F11" s="226"/>
      <c r="G11" s="226"/>
      <c r="H11" s="226"/>
      <c r="I11" s="74">
        <v>1</v>
      </c>
      <c r="J11" s="74">
        <v>2</v>
      </c>
      <c r="K11" s="74">
        <v>3</v>
      </c>
      <c r="L11" s="74">
        <v>4</v>
      </c>
    </row>
    <row r="12" spans="1:12" ht="24.75" customHeight="1" x14ac:dyDescent="0.2">
      <c r="A12" s="226" t="str">
        <f>"("&amp;初期設定!B26&amp;")"&amp;初期設定!C26</f>
        <v>(4)CO2排出の少ない暖房器具を選んで使う</v>
      </c>
      <c r="B12" s="226"/>
      <c r="C12" s="226"/>
      <c r="D12" s="226"/>
      <c r="E12" s="226"/>
      <c r="F12" s="226"/>
      <c r="G12" s="226"/>
      <c r="H12" s="226"/>
      <c r="I12" s="74">
        <v>1</v>
      </c>
      <c r="J12" s="74">
        <v>2</v>
      </c>
      <c r="K12" s="74">
        <v>3</v>
      </c>
      <c r="L12" s="74">
        <v>4</v>
      </c>
    </row>
    <row r="13" spans="1:12" ht="24.75" customHeight="1" x14ac:dyDescent="0.2">
      <c r="A13" s="226" t="str">
        <f>"("&amp;初期設定!B27&amp;")"&amp;初期設定!C27</f>
        <v>(5)内窓など窓の断熱リフォームや、すだれやオーニングなどで遮熱をする</v>
      </c>
      <c r="B13" s="226"/>
      <c r="C13" s="226"/>
      <c r="D13" s="226"/>
      <c r="E13" s="226"/>
      <c r="F13" s="226"/>
      <c r="G13" s="226"/>
      <c r="H13" s="226"/>
      <c r="I13" s="74">
        <v>1</v>
      </c>
      <c r="J13" s="74">
        <v>2</v>
      </c>
      <c r="K13" s="74">
        <v>3</v>
      </c>
      <c r="L13" s="74">
        <v>4</v>
      </c>
    </row>
    <row r="14" spans="1:12" ht="24.75" customHeight="1" x14ac:dyDescent="0.2">
      <c r="A14" s="226" t="str">
        <f>"("&amp;初期設定!B28&amp;")"&amp;初期設定!C28</f>
        <v>(6)エアコンの室外機周りの整頓やフィルター掃除などメンテナンスする</v>
      </c>
      <c r="B14" s="226"/>
      <c r="C14" s="226"/>
      <c r="D14" s="226"/>
      <c r="E14" s="226"/>
      <c r="F14" s="226"/>
      <c r="G14" s="226"/>
      <c r="H14" s="226"/>
      <c r="I14" s="74">
        <v>1</v>
      </c>
      <c r="J14" s="74">
        <v>2</v>
      </c>
      <c r="K14" s="74">
        <v>3</v>
      </c>
      <c r="L14" s="74">
        <v>4</v>
      </c>
    </row>
    <row r="15" spans="1:12" ht="24.75" customHeight="1" x14ac:dyDescent="0.2">
      <c r="A15" s="226" t="str">
        <f>"("&amp;初期設定!B29&amp;")"&amp;初期設定!C29</f>
        <v>(7)季節によって、お風呂の湯張り温度や量を調整する</v>
      </c>
      <c r="B15" s="226"/>
      <c r="C15" s="226"/>
      <c r="D15" s="226"/>
      <c r="E15" s="226"/>
      <c r="F15" s="226"/>
      <c r="G15" s="226"/>
      <c r="H15" s="226"/>
      <c r="I15" s="74">
        <v>1</v>
      </c>
      <c r="J15" s="74">
        <v>2</v>
      </c>
      <c r="K15" s="74">
        <v>3</v>
      </c>
      <c r="L15" s="74">
        <v>4</v>
      </c>
    </row>
    <row r="16" spans="1:12" ht="24.75" customHeight="1" x14ac:dyDescent="0.2">
      <c r="A16" s="226" t="str">
        <f>"("&amp;初期設定!B30&amp;")"&amp;初期設定!C30</f>
        <v>(8)お風呂の給湯器を高効率型にする</v>
      </c>
      <c r="B16" s="226"/>
      <c r="C16" s="226"/>
      <c r="D16" s="226"/>
      <c r="E16" s="226"/>
      <c r="F16" s="226"/>
      <c r="G16" s="226"/>
      <c r="H16" s="226"/>
      <c r="I16" s="74">
        <v>1</v>
      </c>
      <c r="J16" s="74">
        <v>2</v>
      </c>
      <c r="K16" s="74">
        <v>3</v>
      </c>
      <c r="L16" s="74">
        <v>4</v>
      </c>
    </row>
    <row r="17" spans="1:13" ht="24.75" customHeight="1" x14ac:dyDescent="0.2">
      <c r="A17" s="226" t="str">
        <f>"("&amp;初期設定!B31&amp;")"&amp;初期設定!C31</f>
        <v>(9)節水シャワーヘッドをとりつけて利用する</v>
      </c>
      <c r="B17" s="226"/>
      <c r="C17" s="226"/>
      <c r="D17" s="226"/>
      <c r="E17" s="226"/>
      <c r="F17" s="226"/>
      <c r="G17" s="226"/>
      <c r="H17" s="226"/>
      <c r="I17" s="74">
        <v>1</v>
      </c>
      <c r="J17" s="74">
        <v>2</v>
      </c>
      <c r="K17" s="74">
        <v>3</v>
      </c>
      <c r="L17" s="74">
        <v>4</v>
      </c>
    </row>
    <row r="18" spans="1:13" ht="24.75" customHeight="1" x14ac:dyDescent="0.2">
      <c r="A18" s="226" t="str">
        <f>"("&amp;初期設定!B32&amp;")"&amp;初期設定!C32</f>
        <v>(10)なるべく公共交通を使ったり、自転車や徒歩にする</v>
      </c>
      <c r="B18" s="226"/>
      <c r="C18" s="226"/>
      <c r="D18" s="226"/>
      <c r="E18" s="226"/>
      <c r="F18" s="226"/>
      <c r="G18" s="226"/>
      <c r="H18" s="226"/>
      <c r="I18" s="74">
        <v>1</v>
      </c>
      <c r="J18" s="74">
        <v>2</v>
      </c>
      <c r="K18" s="74">
        <v>3</v>
      </c>
      <c r="L18" s="74">
        <v>4</v>
      </c>
    </row>
    <row r="19" spans="1:13" ht="24.75" customHeight="1" x14ac:dyDescent="0.2">
      <c r="A19" s="226" t="str">
        <f>"("&amp;初期設定!B33&amp;")"&amp;初期設定!C33</f>
        <v>(11)電気自動車などエコカーにする</v>
      </c>
      <c r="B19" s="226"/>
      <c r="C19" s="226"/>
      <c r="D19" s="226"/>
      <c r="E19" s="226"/>
      <c r="F19" s="226"/>
      <c r="G19" s="226"/>
      <c r="H19" s="226"/>
      <c r="I19" s="74">
        <v>1</v>
      </c>
      <c r="J19" s="74">
        <v>2</v>
      </c>
      <c r="K19" s="74">
        <v>3</v>
      </c>
      <c r="L19" s="74">
        <v>4</v>
      </c>
    </row>
    <row r="20" spans="1:13" ht="24.75" customHeight="1" x14ac:dyDescent="0.2">
      <c r="A20" s="226" t="str">
        <f>"("&amp;初期設定!B34&amp;")"&amp;初期設定!C34</f>
        <v>(12)エコドライブにこころがける</v>
      </c>
      <c r="B20" s="226"/>
      <c r="C20" s="226"/>
      <c r="D20" s="226"/>
      <c r="E20" s="226"/>
      <c r="F20" s="226"/>
      <c r="G20" s="226"/>
      <c r="H20" s="226"/>
      <c r="I20" s="74">
        <v>1</v>
      </c>
      <c r="J20" s="74">
        <v>2</v>
      </c>
      <c r="K20" s="74">
        <v>3</v>
      </c>
      <c r="L20" s="74">
        <v>4</v>
      </c>
    </row>
    <row r="21" spans="1:13" ht="24.75" customHeight="1" x14ac:dyDescent="0.2">
      <c r="A21" s="226" t="str">
        <f>"("&amp;初期設定!B35&amp;")"&amp;初期設定!C35</f>
        <v>(13)太陽光発電や太陽熱温水器を設置して使う</v>
      </c>
      <c r="B21" s="226"/>
      <c r="C21" s="226"/>
      <c r="D21" s="226"/>
      <c r="E21" s="226"/>
      <c r="F21" s="226"/>
      <c r="G21" s="226"/>
      <c r="H21" s="226"/>
      <c r="I21" s="74">
        <v>1</v>
      </c>
      <c r="J21" s="74">
        <v>2</v>
      </c>
      <c r="K21" s="74">
        <v>3</v>
      </c>
      <c r="L21" s="74">
        <v>4</v>
      </c>
    </row>
    <row r="22" spans="1:13" ht="24.75" customHeight="1" x14ac:dyDescent="0.2">
      <c r="A22" s="226" t="str">
        <f>"("&amp;初期設定!B36&amp;")"&amp;初期設定!C36</f>
        <v>(14)再生エネルギー割合の高い電力会社に切り替える</v>
      </c>
      <c r="B22" s="226"/>
      <c r="C22" s="226"/>
      <c r="D22" s="226"/>
      <c r="E22" s="226"/>
      <c r="F22" s="226"/>
      <c r="G22" s="226"/>
      <c r="H22" s="226"/>
      <c r="I22" s="74">
        <v>1</v>
      </c>
      <c r="J22" s="74">
        <v>2</v>
      </c>
      <c r="K22" s="74">
        <v>3</v>
      </c>
      <c r="L22" s="74">
        <v>4</v>
      </c>
    </row>
    <row r="23" spans="1:13" ht="24.75" customHeight="1" x14ac:dyDescent="0.2">
      <c r="A23" s="226" t="str">
        <f>"("&amp;初期設定!B37&amp;")"&amp;初期設定!C37</f>
        <v>(15)世界のCO2排出をゼロにする目標について調べる</v>
      </c>
      <c r="B23" s="226"/>
      <c r="C23" s="226"/>
      <c r="D23" s="226"/>
      <c r="E23" s="226"/>
      <c r="F23" s="226"/>
      <c r="G23" s="226"/>
      <c r="H23" s="226"/>
      <c r="I23" s="74">
        <v>1</v>
      </c>
      <c r="J23" s="74">
        <v>2</v>
      </c>
      <c r="K23" s="74">
        <v>3</v>
      </c>
      <c r="L23" s="74">
        <v>4</v>
      </c>
    </row>
    <row r="24" spans="1:13" ht="24.75" customHeight="1" x14ac:dyDescent="0.2">
      <c r="A24" s="226" t="str">
        <f>"("&amp;初期設定!B38&amp;")"&amp;初期設定!C38</f>
        <v>(16)検針票などで使用量を見て削減できたかどうかを確認する</v>
      </c>
      <c r="B24" s="226"/>
      <c r="C24" s="226"/>
      <c r="D24" s="226"/>
      <c r="E24" s="226"/>
      <c r="F24" s="226"/>
      <c r="G24" s="226"/>
      <c r="H24" s="226"/>
      <c r="I24" s="74">
        <v>1</v>
      </c>
      <c r="J24" s="74">
        <v>2</v>
      </c>
      <c r="K24" s="74">
        <v>3</v>
      </c>
      <c r="L24" s="74">
        <v>4</v>
      </c>
    </row>
    <row r="25" spans="1:13" ht="24.75" customHeight="1" x14ac:dyDescent="0.2">
      <c r="A25" s="226" t="str">
        <f>"("&amp;初期設定!B39&amp;")"&amp;初期設定!C39</f>
        <v>(17)</v>
      </c>
      <c r="B25" s="226"/>
      <c r="C25" s="226"/>
      <c r="D25" s="226"/>
      <c r="E25" s="226"/>
      <c r="F25" s="226"/>
      <c r="G25" s="226"/>
      <c r="H25" s="226"/>
      <c r="I25" s="74">
        <v>1</v>
      </c>
      <c r="J25" s="74">
        <v>2</v>
      </c>
      <c r="K25" s="74">
        <v>3</v>
      </c>
      <c r="L25" s="74">
        <v>4</v>
      </c>
    </row>
    <row r="26" spans="1:13" ht="24.75" customHeight="1" x14ac:dyDescent="0.2">
      <c r="A26" s="226" t="str">
        <f>"("&amp;初期設定!B40&amp;")"&amp;初期設定!C40</f>
        <v>(18)</v>
      </c>
      <c r="B26" s="226"/>
      <c r="C26" s="226"/>
      <c r="D26" s="226"/>
      <c r="E26" s="226"/>
      <c r="F26" s="226"/>
      <c r="G26" s="226"/>
      <c r="H26" s="226"/>
      <c r="I26" s="74">
        <v>1</v>
      </c>
      <c r="J26" s="74">
        <v>2</v>
      </c>
      <c r="K26" s="74">
        <v>3</v>
      </c>
      <c r="L26" s="74">
        <v>4</v>
      </c>
    </row>
    <row r="27" spans="1:13" ht="24.75" customHeight="1" x14ac:dyDescent="0.2">
      <c r="A27" s="226" t="str">
        <f>"("&amp;初期設定!B43&amp;")"&amp;初期設定!C43</f>
        <v>(21)</v>
      </c>
      <c r="B27" s="226"/>
      <c r="C27" s="226"/>
      <c r="D27" s="226"/>
      <c r="E27" s="226"/>
      <c r="F27" s="226"/>
      <c r="G27" s="226"/>
      <c r="H27" s="226"/>
      <c r="I27" s="74">
        <v>1</v>
      </c>
      <c r="J27" s="74">
        <v>2</v>
      </c>
      <c r="K27" s="74">
        <v>3</v>
      </c>
      <c r="L27" s="74">
        <v>4</v>
      </c>
    </row>
    <row r="28" spans="1:13" ht="24.75" customHeight="1" x14ac:dyDescent="0.2">
      <c r="A28" s="226" t="str">
        <f>"("&amp;初期設定!B44&amp;")"&amp;初期設定!C44</f>
        <v>(22)</v>
      </c>
      <c r="B28" s="226"/>
      <c r="C28" s="226"/>
      <c r="D28" s="226"/>
      <c r="E28" s="226"/>
      <c r="F28" s="226"/>
      <c r="G28" s="226"/>
      <c r="H28" s="226"/>
      <c r="I28" s="74">
        <v>1</v>
      </c>
      <c r="J28" s="74">
        <v>2</v>
      </c>
      <c r="K28" s="74">
        <v>3</v>
      </c>
      <c r="L28" s="74">
        <v>4</v>
      </c>
    </row>
    <row r="30" spans="1:13" x14ac:dyDescent="0.2">
      <c r="A30" s="24" t="s">
        <v>99</v>
      </c>
    </row>
    <row r="31" spans="1:13" ht="3.75" customHeight="1" x14ac:dyDescent="0.2"/>
    <row r="32" spans="1:13" x14ac:dyDescent="0.2">
      <c r="B32" s="67" t="s">
        <v>93</v>
      </c>
      <c r="C32" s="68"/>
      <c r="D32" s="99" t="s">
        <v>112</v>
      </c>
      <c r="E32" s="100"/>
      <c r="F32" s="100"/>
      <c r="G32" s="101"/>
      <c r="H32" s="68" t="s">
        <v>94</v>
      </c>
      <c r="I32" s="68"/>
      <c r="J32" s="67" t="s">
        <v>45</v>
      </c>
      <c r="K32" s="69"/>
      <c r="L32" s="67" t="s">
        <v>242</v>
      </c>
      <c r="M32" s="69"/>
    </row>
    <row r="33" spans="1:13" x14ac:dyDescent="0.2">
      <c r="B33" s="96"/>
      <c r="C33" s="97"/>
      <c r="D33" s="96" t="s">
        <v>113</v>
      </c>
      <c r="E33" s="97"/>
      <c r="F33" s="96" t="s">
        <v>114</v>
      </c>
      <c r="G33" s="97"/>
      <c r="H33" s="96"/>
      <c r="I33" s="97"/>
      <c r="J33" s="96"/>
      <c r="K33" s="98"/>
      <c r="L33" s="96"/>
      <c r="M33" s="98"/>
    </row>
    <row r="34" spans="1:13" ht="26.25" customHeight="1" x14ac:dyDescent="0.2">
      <c r="B34" s="70"/>
      <c r="C34" s="71" t="s">
        <v>72</v>
      </c>
      <c r="D34" s="70"/>
      <c r="E34" s="71" t="s">
        <v>72</v>
      </c>
      <c r="F34" s="70"/>
      <c r="G34" s="71" t="s">
        <v>72</v>
      </c>
      <c r="H34" s="70"/>
      <c r="I34" s="71" t="s">
        <v>72</v>
      </c>
      <c r="J34" s="70"/>
      <c r="K34" s="72" t="s">
        <v>72</v>
      </c>
      <c r="L34" s="234" t="s">
        <v>246</v>
      </c>
      <c r="M34" s="235"/>
    </row>
    <row r="35" spans="1:13" ht="6" customHeight="1" x14ac:dyDescent="0.2"/>
    <row r="36" spans="1:13" x14ac:dyDescent="0.2">
      <c r="A36" s="24" t="s">
        <v>95</v>
      </c>
      <c r="I36" s="24" t="s">
        <v>255</v>
      </c>
    </row>
    <row r="37" spans="1:13" ht="3" customHeight="1" x14ac:dyDescent="0.2"/>
    <row r="38" spans="1:13" ht="18" customHeight="1" x14ac:dyDescent="0.2">
      <c r="B38" s="67" t="s">
        <v>96</v>
      </c>
      <c r="C38" s="69"/>
      <c r="D38" s="67" t="s">
        <v>97</v>
      </c>
      <c r="E38" s="68"/>
      <c r="F38" s="68"/>
      <c r="G38" s="69"/>
      <c r="J38" s="227" t="s">
        <v>254</v>
      </c>
      <c r="K38" s="228"/>
      <c r="L38" s="229"/>
    </row>
    <row r="39" spans="1:13" x14ac:dyDescent="0.2">
      <c r="B39" s="70"/>
      <c r="C39" s="72" t="s">
        <v>98</v>
      </c>
      <c r="D39" s="70"/>
      <c r="E39" s="77"/>
      <c r="F39" s="77"/>
      <c r="G39" s="78"/>
      <c r="J39" s="230"/>
      <c r="K39" s="231"/>
      <c r="L39" s="232"/>
    </row>
    <row r="40" spans="1:13" ht="6" customHeight="1" x14ac:dyDescent="0.2"/>
    <row r="41" spans="1:13" x14ac:dyDescent="0.2">
      <c r="M41" s="26" t="s">
        <v>73</v>
      </c>
    </row>
    <row r="42" spans="1:13" ht="4.5" customHeight="1" x14ac:dyDescent="0.2"/>
    <row r="43" spans="1:13" x14ac:dyDescent="0.2">
      <c r="M43" s="76" t="s">
        <v>310</v>
      </c>
    </row>
  </sheetData>
  <mergeCells count="23">
    <mergeCell ref="A21:H21"/>
    <mergeCell ref="J38:L39"/>
    <mergeCell ref="I8:L8"/>
    <mergeCell ref="L34:M34"/>
    <mergeCell ref="A9:H9"/>
    <mergeCell ref="A10:H10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  <mergeCell ref="A20:H20"/>
    <mergeCell ref="A26:H26"/>
    <mergeCell ref="A27:H27"/>
    <mergeCell ref="A28:H28"/>
    <mergeCell ref="A22:H22"/>
    <mergeCell ref="A23:H23"/>
    <mergeCell ref="A24:H24"/>
    <mergeCell ref="A25:H25"/>
  </mergeCells>
  <phoneticPr fontId="3"/>
  <dataValidations count="1">
    <dataValidation type="decimal" allowBlank="1" showInputMessage="1" showErrorMessage="1" sqref="B41:L43 M41 M42:M43" xr:uid="{00000000-0002-0000-0200-000000000000}">
      <formula1>10.221</formula1>
      <formula2>10.223</formula2>
    </dataValidation>
  </dataValidations>
  <pageMargins left="0.67" right="0.75" top="0.77" bottom="0.63" header="0.51200000000000001" footer="0.51200000000000001"/>
  <pageSetup paperSize="9" scale="95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S504"/>
  <sheetViews>
    <sheetView tabSelected="1" workbookViewId="0">
      <pane xSplit="2" ySplit="21" topLeftCell="C22" activePane="bottomRight" state="frozen"/>
      <selection pane="topRight" activeCell="C1" sqref="C1"/>
      <selection pane="bottomLeft" activeCell="A22" sqref="A22"/>
      <selection pane="bottomRight" activeCell="D23" sqref="D23"/>
    </sheetView>
  </sheetViews>
  <sheetFormatPr defaultColWidth="0" defaultRowHeight="13" x14ac:dyDescent="0.2"/>
  <cols>
    <col min="1" max="1" width="1.08984375" style="1" customWidth="1"/>
    <col min="2" max="2" width="10.7265625" style="1" customWidth="1"/>
    <col min="3" max="4" width="9" style="1" customWidth="1"/>
    <col min="5" max="5" width="6" style="1" customWidth="1"/>
    <col min="6" max="7" width="8.453125" style="1" customWidth="1"/>
    <col min="8" max="14" width="4.90625" style="1" customWidth="1"/>
    <col min="15" max="30" width="5.6328125" style="1" customWidth="1"/>
    <col min="31" max="36" width="5.6328125" style="1" hidden="1" customWidth="1"/>
    <col min="37" max="37" width="8.08984375" style="1" customWidth="1"/>
    <col min="38" max="39" width="7.26953125" style="1" customWidth="1"/>
    <col min="40" max="41" width="8.08984375" style="1" customWidth="1"/>
    <col min="42" max="42" width="6" style="1" customWidth="1"/>
    <col min="43" max="43" width="13.453125" style="1" customWidth="1"/>
    <col min="44" max="44" width="10" style="1" customWidth="1"/>
    <col min="45" max="16384" width="0" style="1" hidden="1"/>
  </cols>
  <sheetData>
    <row r="1" spans="1:44" s="36" customFormat="1" ht="23.25" customHeight="1" thickBot="1" x14ac:dyDescent="0.25">
      <c r="A1" s="31"/>
      <c r="B1" s="32" t="s">
        <v>22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 t="s">
        <v>283</v>
      </c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4"/>
      <c r="AR1" s="35"/>
    </row>
    <row r="2" spans="1:44" s="36" customFormat="1" ht="8.25" customHeight="1" x14ac:dyDescent="0.2"/>
    <row r="3" spans="1:44" s="36" customFormat="1" ht="16.5" customHeight="1" x14ac:dyDescent="0.2">
      <c r="A3" s="159" t="s">
        <v>319</v>
      </c>
      <c r="B3" s="159"/>
      <c r="C3" s="159"/>
      <c r="E3" s="236" t="s">
        <v>19</v>
      </c>
      <c r="F3" s="237"/>
      <c r="G3" s="210"/>
      <c r="H3" s="236" t="s">
        <v>21</v>
      </c>
      <c r="I3" s="237"/>
      <c r="J3" s="236" t="s">
        <v>20</v>
      </c>
      <c r="K3" s="237"/>
    </row>
    <row r="4" spans="1:44" s="36" customFormat="1" ht="16.5" customHeight="1" x14ac:dyDescent="0.2">
      <c r="E4" s="238">
        <v>20</v>
      </c>
      <c r="F4" s="239"/>
      <c r="G4" s="211"/>
      <c r="H4" s="240" t="s">
        <v>417</v>
      </c>
      <c r="I4" s="241"/>
      <c r="J4" s="242">
        <f>IF(H4="指定呼出",E4,MAX(AS22:AS252))</f>
        <v>1</v>
      </c>
      <c r="K4" s="243"/>
    </row>
    <row r="5" spans="1:44" s="36" customFormat="1" ht="3.75" hidden="1" customHeight="1" x14ac:dyDescent="0.2"/>
    <row r="6" spans="1:44" s="36" customFormat="1" ht="18.75" hidden="1" customHeight="1" x14ac:dyDescent="0.2"/>
    <row r="7" spans="1:44" s="36" customFormat="1" ht="17.25" hidden="1" customHeight="1" x14ac:dyDescent="0.2">
      <c r="A7" s="37" t="s">
        <v>320</v>
      </c>
      <c r="B7" s="37"/>
    </row>
    <row r="8" spans="1:44" s="36" customFormat="1" hidden="1" x14ac:dyDescent="0.2">
      <c r="B8" s="38" t="s">
        <v>11</v>
      </c>
      <c r="C8" s="40">
        <f t="shared" ref="C8:AH8" si="0">IF(COUNT(C22:C994)=0,"",AVERAGE(C22:C994))</f>
        <v>5</v>
      </c>
      <c r="D8" s="41"/>
      <c r="E8" s="42">
        <f>IF(COUNT(E22:E994)=0,"",AVERAGE(E22:E994))</f>
        <v>1</v>
      </c>
      <c r="F8" s="42">
        <f>IF(COUNT(F22:F994)=0,"",AVERAGE(F22:F994))</f>
        <v>1</v>
      </c>
      <c r="G8" s="41"/>
      <c r="H8" s="41"/>
      <c r="I8" s="41"/>
      <c r="J8" s="41"/>
      <c r="K8" s="41"/>
      <c r="L8" s="41"/>
      <c r="M8" s="41"/>
      <c r="N8" s="41"/>
      <c r="O8" s="41">
        <f t="shared" si="0"/>
        <v>1</v>
      </c>
      <c r="P8" s="41">
        <f t="shared" si="0"/>
        <v>2</v>
      </c>
      <c r="Q8" s="41">
        <f t="shared" si="0"/>
        <v>2</v>
      </c>
      <c r="R8" s="41">
        <f t="shared" si="0"/>
        <v>1</v>
      </c>
      <c r="S8" s="41">
        <f t="shared" si="0"/>
        <v>3</v>
      </c>
      <c r="T8" s="41">
        <f t="shared" si="0"/>
        <v>2</v>
      </c>
      <c r="U8" s="41">
        <f t="shared" si="0"/>
        <v>2</v>
      </c>
      <c r="V8" s="41">
        <f t="shared" si="0"/>
        <v>1</v>
      </c>
      <c r="W8" s="41">
        <f t="shared" si="0"/>
        <v>1</v>
      </c>
      <c r="X8" s="41">
        <f t="shared" si="0"/>
        <v>2</v>
      </c>
      <c r="Y8" s="41">
        <f t="shared" si="0"/>
        <v>3</v>
      </c>
      <c r="Z8" s="41">
        <f t="shared" si="0"/>
        <v>2</v>
      </c>
      <c r="AA8" s="41">
        <f t="shared" si="0"/>
        <v>4</v>
      </c>
      <c r="AB8" s="41">
        <f t="shared" si="0"/>
        <v>1</v>
      </c>
      <c r="AC8" s="41">
        <f t="shared" si="0"/>
        <v>1</v>
      </c>
      <c r="AD8" s="41">
        <f t="shared" si="0"/>
        <v>2</v>
      </c>
      <c r="AE8" s="41" t="str">
        <f t="shared" si="0"/>
        <v/>
      </c>
      <c r="AF8" s="41" t="str">
        <f t="shared" si="0"/>
        <v/>
      </c>
      <c r="AG8" s="41" t="str">
        <f t="shared" si="0"/>
        <v/>
      </c>
      <c r="AH8" s="41" t="str">
        <f t="shared" si="0"/>
        <v/>
      </c>
      <c r="AI8" s="41"/>
      <c r="AJ8" s="41"/>
      <c r="AK8" s="39">
        <f t="shared" ref="AK8:AP8" si="1">IF(COUNT(AK22:AK994)=0,"",AVERAGE(AK22:AK994))</f>
        <v>12000</v>
      </c>
      <c r="AL8" s="39">
        <f t="shared" si="1"/>
        <v>10000</v>
      </c>
      <c r="AM8" s="39" t="str">
        <f t="shared" si="1"/>
        <v/>
      </c>
      <c r="AN8" s="39" t="str">
        <f t="shared" si="1"/>
        <v/>
      </c>
      <c r="AO8" s="39">
        <f t="shared" si="1"/>
        <v>8000</v>
      </c>
      <c r="AP8" s="41" t="str">
        <f t="shared" si="1"/>
        <v/>
      </c>
    </row>
    <row r="9" spans="1:44" s="36" customFormat="1" hidden="1" x14ac:dyDescent="0.2">
      <c r="B9" s="43" t="s">
        <v>12</v>
      </c>
      <c r="C9" s="45">
        <f t="shared" ref="C9:AH9" si="2">IF(COUNT(C22:C994)=0,"",MAX(C22:C994))</f>
        <v>5</v>
      </c>
      <c r="D9" s="46"/>
      <c r="E9" s="47">
        <f>IF(COUNT(E22:E994)=0,"",MAX(E22:E994))</f>
        <v>1</v>
      </c>
      <c r="F9" s="47">
        <f>IF(COUNT(F22:F994)=0,"",MAX(F22:F994))</f>
        <v>1</v>
      </c>
      <c r="G9" s="46"/>
      <c r="H9" s="46"/>
      <c r="I9" s="46"/>
      <c r="J9" s="46"/>
      <c r="K9" s="46"/>
      <c r="L9" s="46"/>
      <c r="M9" s="46"/>
      <c r="N9" s="46"/>
      <c r="O9" s="46">
        <f t="shared" si="2"/>
        <v>1</v>
      </c>
      <c r="P9" s="46">
        <f t="shared" si="2"/>
        <v>2</v>
      </c>
      <c r="Q9" s="46">
        <f t="shared" si="2"/>
        <v>2</v>
      </c>
      <c r="R9" s="46">
        <f t="shared" si="2"/>
        <v>1</v>
      </c>
      <c r="S9" s="46">
        <f t="shared" si="2"/>
        <v>3</v>
      </c>
      <c r="T9" s="46">
        <f t="shared" si="2"/>
        <v>2</v>
      </c>
      <c r="U9" s="46">
        <f t="shared" si="2"/>
        <v>2</v>
      </c>
      <c r="V9" s="46">
        <f t="shared" si="2"/>
        <v>1</v>
      </c>
      <c r="W9" s="46">
        <f t="shared" si="2"/>
        <v>1</v>
      </c>
      <c r="X9" s="46">
        <f t="shared" si="2"/>
        <v>2</v>
      </c>
      <c r="Y9" s="46">
        <f t="shared" si="2"/>
        <v>3</v>
      </c>
      <c r="Z9" s="46">
        <f t="shared" si="2"/>
        <v>2</v>
      </c>
      <c r="AA9" s="46">
        <f t="shared" si="2"/>
        <v>4</v>
      </c>
      <c r="AB9" s="46">
        <f t="shared" si="2"/>
        <v>1</v>
      </c>
      <c r="AC9" s="46">
        <f t="shared" si="2"/>
        <v>1</v>
      </c>
      <c r="AD9" s="46">
        <f t="shared" si="2"/>
        <v>2</v>
      </c>
      <c r="AE9" s="46" t="str">
        <f t="shared" si="2"/>
        <v/>
      </c>
      <c r="AF9" s="46" t="str">
        <f t="shared" si="2"/>
        <v/>
      </c>
      <c r="AG9" s="46" t="str">
        <f t="shared" si="2"/>
        <v/>
      </c>
      <c r="AH9" s="46" t="str">
        <f t="shared" si="2"/>
        <v/>
      </c>
      <c r="AI9" s="46"/>
      <c r="AJ9" s="46"/>
      <c r="AK9" s="44">
        <f t="shared" ref="AK9:AP9" si="3">IF(COUNT(AK22:AK994)=0,"",MAX(AK22:AK994))</f>
        <v>12000</v>
      </c>
      <c r="AL9" s="44">
        <f t="shared" si="3"/>
        <v>10000</v>
      </c>
      <c r="AM9" s="44" t="str">
        <f t="shared" si="3"/>
        <v/>
      </c>
      <c r="AN9" s="44" t="str">
        <f t="shared" si="3"/>
        <v/>
      </c>
      <c r="AO9" s="44">
        <f t="shared" si="3"/>
        <v>8000</v>
      </c>
      <c r="AP9" s="46" t="str">
        <f t="shared" si="3"/>
        <v/>
      </c>
    </row>
    <row r="10" spans="1:44" s="36" customFormat="1" hidden="1" x14ac:dyDescent="0.2">
      <c r="B10" s="48" t="s">
        <v>13</v>
      </c>
      <c r="C10" s="50">
        <f t="shared" ref="C10:AH10" si="4">IF(COUNT(C22:C994)=0,"",MIN(C22:C994))</f>
        <v>5</v>
      </c>
      <c r="D10" s="51"/>
      <c r="E10" s="52">
        <f>IF(COUNT(E22:E994)=0,"",MIN(E22:E994))</f>
        <v>1</v>
      </c>
      <c r="F10" s="52">
        <f>IF(COUNT(F22:F994)=0,"",MIN(F22:F994))</f>
        <v>1</v>
      </c>
      <c r="G10" s="51"/>
      <c r="H10" s="51"/>
      <c r="I10" s="51"/>
      <c r="J10" s="51"/>
      <c r="K10" s="51"/>
      <c r="L10" s="51"/>
      <c r="M10" s="51"/>
      <c r="N10" s="51"/>
      <c r="O10" s="51">
        <f t="shared" si="4"/>
        <v>1</v>
      </c>
      <c r="P10" s="51">
        <f t="shared" si="4"/>
        <v>2</v>
      </c>
      <c r="Q10" s="51">
        <f t="shared" si="4"/>
        <v>2</v>
      </c>
      <c r="R10" s="51">
        <f t="shared" si="4"/>
        <v>1</v>
      </c>
      <c r="S10" s="51">
        <f t="shared" si="4"/>
        <v>3</v>
      </c>
      <c r="T10" s="51">
        <f t="shared" si="4"/>
        <v>2</v>
      </c>
      <c r="U10" s="51">
        <f t="shared" si="4"/>
        <v>2</v>
      </c>
      <c r="V10" s="51">
        <f t="shared" si="4"/>
        <v>1</v>
      </c>
      <c r="W10" s="51">
        <f t="shared" si="4"/>
        <v>1</v>
      </c>
      <c r="X10" s="51">
        <f t="shared" si="4"/>
        <v>2</v>
      </c>
      <c r="Y10" s="51">
        <f t="shared" si="4"/>
        <v>3</v>
      </c>
      <c r="Z10" s="51">
        <f t="shared" si="4"/>
        <v>2</v>
      </c>
      <c r="AA10" s="51">
        <f t="shared" si="4"/>
        <v>4</v>
      </c>
      <c r="AB10" s="51">
        <f t="shared" si="4"/>
        <v>1</v>
      </c>
      <c r="AC10" s="51">
        <f t="shared" si="4"/>
        <v>1</v>
      </c>
      <c r="AD10" s="51">
        <f t="shared" si="4"/>
        <v>2</v>
      </c>
      <c r="AE10" s="51" t="str">
        <f t="shared" si="4"/>
        <v/>
      </c>
      <c r="AF10" s="51" t="str">
        <f t="shared" si="4"/>
        <v/>
      </c>
      <c r="AG10" s="51" t="str">
        <f t="shared" si="4"/>
        <v/>
      </c>
      <c r="AH10" s="51" t="str">
        <f t="shared" si="4"/>
        <v/>
      </c>
      <c r="AI10" s="51"/>
      <c r="AJ10" s="51"/>
      <c r="AK10" s="49">
        <f t="shared" ref="AK10:AP10" si="5">IF(COUNT(AK22:AK994)=0,"",MIN(AK22:AK994))</f>
        <v>12000</v>
      </c>
      <c r="AL10" s="49">
        <f t="shared" si="5"/>
        <v>10000</v>
      </c>
      <c r="AM10" s="49" t="str">
        <f t="shared" si="5"/>
        <v/>
      </c>
      <c r="AN10" s="49" t="str">
        <f t="shared" si="5"/>
        <v/>
      </c>
      <c r="AO10" s="49">
        <f t="shared" si="5"/>
        <v>8000</v>
      </c>
      <c r="AP10" s="51" t="str">
        <f t="shared" si="5"/>
        <v/>
      </c>
    </row>
    <row r="11" spans="1:44" s="36" customFormat="1" hidden="1" x14ac:dyDescent="0.2">
      <c r="B11" s="53">
        <v>1</v>
      </c>
      <c r="C11" s="40">
        <f t="shared" ref="C11:C16" si="6">COUNTIF(C$22:C$994,$B11)</f>
        <v>0</v>
      </c>
      <c r="E11" s="42">
        <f t="shared" ref="E11:F16" si="7">COUNTIF(E$22:E$994,$B11)</f>
        <v>1</v>
      </c>
      <c r="F11" s="42">
        <f t="shared" si="7"/>
        <v>1</v>
      </c>
      <c r="G11" s="41"/>
      <c r="H11" s="41"/>
      <c r="I11" s="41"/>
      <c r="J11" s="41"/>
      <c r="K11" s="41"/>
      <c r="L11" s="41"/>
      <c r="M11" s="41"/>
      <c r="N11" s="41"/>
      <c r="O11" s="41">
        <f t="shared" ref="O11:X16" si="8">COUNTIF(O$22:O$994,$B11)</f>
        <v>1</v>
      </c>
      <c r="P11" s="41">
        <f t="shared" si="8"/>
        <v>0</v>
      </c>
      <c r="Q11" s="41">
        <f t="shared" si="8"/>
        <v>0</v>
      </c>
      <c r="R11" s="41">
        <f t="shared" si="8"/>
        <v>1</v>
      </c>
      <c r="S11" s="41">
        <f t="shared" si="8"/>
        <v>0</v>
      </c>
      <c r="T11" s="41">
        <f t="shared" si="8"/>
        <v>0</v>
      </c>
      <c r="U11" s="41">
        <f t="shared" si="8"/>
        <v>0</v>
      </c>
      <c r="V11" s="41">
        <f t="shared" si="8"/>
        <v>1</v>
      </c>
      <c r="W11" s="41">
        <f t="shared" si="8"/>
        <v>1</v>
      </c>
      <c r="X11" s="41">
        <f t="shared" si="8"/>
        <v>0</v>
      </c>
      <c r="Y11" s="41">
        <f t="shared" ref="Y11:AH16" si="9">COUNTIF(Y$22:Y$994,$B11)</f>
        <v>0</v>
      </c>
      <c r="Z11" s="41">
        <f t="shared" si="9"/>
        <v>0</v>
      </c>
      <c r="AA11" s="41">
        <f t="shared" si="9"/>
        <v>0</v>
      </c>
      <c r="AB11" s="41">
        <f t="shared" si="9"/>
        <v>1</v>
      </c>
      <c r="AC11" s="41">
        <f t="shared" si="9"/>
        <v>1</v>
      </c>
      <c r="AD11" s="41">
        <f t="shared" si="9"/>
        <v>0</v>
      </c>
      <c r="AE11" s="41">
        <f t="shared" si="9"/>
        <v>0</v>
      </c>
      <c r="AF11" s="41">
        <f t="shared" si="9"/>
        <v>0</v>
      </c>
      <c r="AG11" s="41">
        <f t="shared" si="9"/>
        <v>0</v>
      </c>
      <c r="AH11" s="41">
        <f t="shared" si="9"/>
        <v>0</v>
      </c>
      <c r="AI11" s="41"/>
      <c r="AJ11" s="41"/>
      <c r="AP11" s="41">
        <f t="shared" ref="AP11:AP16" si="10">COUNTIF(AP$22:AP$994,$B11)</f>
        <v>0</v>
      </c>
    </row>
    <row r="12" spans="1:44" s="36" customFormat="1" hidden="1" x14ac:dyDescent="0.2">
      <c r="B12" s="54">
        <v>2</v>
      </c>
      <c r="C12" s="45">
        <f t="shared" si="6"/>
        <v>0</v>
      </c>
      <c r="E12" s="47">
        <f t="shared" si="7"/>
        <v>0</v>
      </c>
      <c r="F12" s="47">
        <f t="shared" si="7"/>
        <v>0</v>
      </c>
      <c r="G12" s="46"/>
      <c r="H12" s="46"/>
      <c r="I12" s="46"/>
      <c r="J12" s="46"/>
      <c r="K12" s="46"/>
      <c r="L12" s="46"/>
      <c r="M12" s="46"/>
      <c r="N12" s="46"/>
      <c r="O12" s="46">
        <f t="shared" si="8"/>
        <v>0</v>
      </c>
      <c r="P12" s="46">
        <f t="shared" si="8"/>
        <v>1</v>
      </c>
      <c r="Q12" s="46">
        <f t="shared" si="8"/>
        <v>1</v>
      </c>
      <c r="R12" s="46">
        <f t="shared" si="8"/>
        <v>0</v>
      </c>
      <c r="S12" s="46">
        <f t="shared" si="8"/>
        <v>0</v>
      </c>
      <c r="T12" s="46">
        <f t="shared" si="8"/>
        <v>1</v>
      </c>
      <c r="U12" s="46">
        <f t="shared" si="8"/>
        <v>1</v>
      </c>
      <c r="V12" s="46">
        <f t="shared" si="8"/>
        <v>0</v>
      </c>
      <c r="W12" s="46">
        <f t="shared" si="8"/>
        <v>0</v>
      </c>
      <c r="X12" s="46">
        <f t="shared" si="8"/>
        <v>1</v>
      </c>
      <c r="Y12" s="46">
        <f t="shared" si="9"/>
        <v>0</v>
      </c>
      <c r="Z12" s="46">
        <f t="shared" si="9"/>
        <v>1</v>
      </c>
      <c r="AA12" s="46">
        <f t="shared" si="9"/>
        <v>0</v>
      </c>
      <c r="AB12" s="46">
        <f t="shared" si="9"/>
        <v>0</v>
      </c>
      <c r="AC12" s="46">
        <f t="shared" si="9"/>
        <v>0</v>
      </c>
      <c r="AD12" s="46">
        <f t="shared" si="9"/>
        <v>1</v>
      </c>
      <c r="AE12" s="46">
        <f t="shared" si="9"/>
        <v>0</v>
      </c>
      <c r="AF12" s="46">
        <f t="shared" si="9"/>
        <v>0</v>
      </c>
      <c r="AG12" s="46">
        <f t="shared" si="9"/>
        <v>0</v>
      </c>
      <c r="AH12" s="46">
        <f t="shared" si="9"/>
        <v>0</v>
      </c>
      <c r="AI12" s="46"/>
      <c r="AJ12" s="46"/>
      <c r="AP12" s="46">
        <f t="shared" si="10"/>
        <v>0</v>
      </c>
    </row>
    <row r="13" spans="1:44" s="36" customFormat="1" ht="17.25" hidden="1" customHeight="1" x14ac:dyDescent="0.2">
      <c r="B13" s="54">
        <v>3</v>
      </c>
      <c r="C13" s="45">
        <f t="shared" si="6"/>
        <v>0</v>
      </c>
      <c r="E13" s="47">
        <f t="shared" si="7"/>
        <v>0</v>
      </c>
      <c r="F13" s="47">
        <f t="shared" si="7"/>
        <v>0</v>
      </c>
      <c r="G13" s="46"/>
      <c r="H13" s="46"/>
      <c r="I13" s="46"/>
      <c r="J13" s="46"/>
      <c r="K13" s="46"/>
      <c r="L13" s="46"/>
      <c r="M13" s="46"/>
      <c r="N13" s="46"/>
      <c r="O13" s="46">
        <f t="shared" si="8"/>
        <v>0</v>
      </c>
      <c r="P13" s="46">
        <f t="shared" si="8"/>
        <v>0</v>
      </c>
      <c r="Q13" s="46">
        <f t="shared" si="8"/>
        <v>0</v>
      </c>
      <c r="R13" s="46">
        <f t="shared" si="8"/>
        <v>0</v>
      </c>
      <c r="S13" s="46">
        <f t="shared" si="8"/>
        <v>1</v>
      </c>
      <c r="T13" s="46">
        <f t="shared" si="8"/>
        <v>0</v>
      </c>
      <c r="U13" s="46">
        <f t="shared" si="8"/>
        <v>0</v>
      </c>
      <c r="V13" s="46">
        <f t="shared" si="8"/>
        <v>0</v>
      </c>
      <c r="W13" s="46">
        <f t="shared" si="8"/>
        <v>0</v>
      </c>
      <c r="X13" s="46">
        <f t="shared" si="8"/>
        <v>0</v>
      </c>
      <c r="Y13" s="46">
        <f t="shared" si="9"/>
        <v>1</v>
      </c>
      <c r="Z13" s="46">
        <f t="shared" si="9"/>
        <v>0</v>
      </c>
      <c r="AA13" s="46">
        <f t="shared" si="9"/>
        <v>0</v>
      </c>
      <c r="AB13" s="46">
        <f t="shared" si="9"/>
        <v>0</v>
      </c>
      <c r="AC13" s="46">
        <f t="shared" si="9"/>
        <v>0</v>
      </c>
      <c r="AD13" s="46">
        <f t="shared" si="9"/>
        <v>0</v>
      </c>
      <c r="AE13" s="46">
        <f t="shared" si="9"/>
        <v>0</v>
      </c>
      <c r="AF13" s="46">
        <f t="shared" si="9"/>
        <v>0</v>
      </c>
      <c r="AG13" s="46">
        <f t="shared" si="9"/>
        <v>0</v>
      </c>
      <c r="AH13" s="46">
        <f t="shared" si="9"/>
        <v>0</v>
      </c>
      <c r="AI13" s="46"/>
      <c r="AJ13" s="46"/>
      <c r="AP13" s="46">
        <f t="shared" si="10"/>
        <v>0</v>
      </c>
    </row>
    <row r="14" spans="1:44" s="36" customFormat="1" hidden="1" x14ac:dyDescent="0.2">
      <c r="B14" s="54">
        <v>4</v>
      </c>
      <c r="C14" s="45">
        <f t="shared" si="6"/>
        <v>0</v>
      </c>
      <c r="E14" s="47">
        <f t="shared" si="7"/>
        <v>0</v>
      </c>
      <c r="F14" s="47">
        <f t="shared" si="7"/>
        <v>0</v>
      </c>
      <c r="G14" s="46"/>
      <c r="H14" s="46"/>
      <c r="I14" s="46"/>
      <c r="J14" s="46"/>
      <c r="K14" s="46"/>
      <c r="L14" s="46"/>
      <c r="M14" s="46"/>
      <c r="N14" s="46"/>
      <c r="O14" s="46">
        <f t="shared" si="8"/>
        <v>0</v>
      </c>
      <c r="P14" s="46">
        <f t="shared" si="8"/>
        <v>0</v>
      </c>
      <c r="Q14" s="46">
        <f t="shared" si="8"/>
        <v>0</v>
      </c>
      <c r="R14" s="46">
        <f t="shared" si="8"/>
        <v>0</v>
      </c>
      <c r="S14" s="46">
        <f t="shared" si="8"/>
        <v>0</v>
      </c>
      <c r="T14" s="46">
        <f t="shared" si="8"/>
        <v>0</v>
      </c>
      <c r="U14" s="46">
        <f t="shared" si="8"/>
        <v>0</v>
      </c>
      <c r="V14" s="46">
        <f t="shared" si="8"/>
        <v>0</v>
      </c>
      <c r="W14" s="46">
        <f t="shared" si="8"/>
        <v>0</v>
      </c>
      <c r="X14" s="46">
        <f t="shared" si="8"/>
        <v>0</v>
      </c>
      <c r="Y14" s="46">
        <f t="shared" si="9"/>
        <v>0</v>
      </c>
      <c r="Z14" s="46">
        <f t="shared" si="9"/>
        <v>0</v>
      </c>
      <c r="AA14" s="46">
        <f t="shared" si="9"/>
        <v>1</v>
      </c>
      <c r="AB14" s="46">
        <f t="shared" si="9"/>
        <v>0</v>
      </c>
      <c r="AC14" s="46">
        <f t="shared" si="9"/>
        <v>0</v>
      </c>
      <c r="AD14" s="46">
        <f t="shared" si="9"/>
        <v>0</v>
      </c>
      <c r="AE14" s="46">
        <f t="shared" si="9"/>
        <v>0</v>
      </c>
      <c r="AF14" s="46">
        <f t="shared" si="9"/>
        <v>0</v>
      </c>
      <c r="AG14" s="46">
        <f t="shared" si="9"/>
        <v>0</v>
      </c>
      <c r="AH14" s="46">
        <f t="shared" si="9"/>
        <v>0</v>
      </c>
      <c r="AI14" s="46"/>
      <c r="AJ14" s="46"/>
      <c r="AP14" s="46">
        <f t="shared" si="10"/>
        <v>0</v>
      </c>
    </row>
    <row r="15" spans="1:44" s="36" customFormat="1" hidden="1" x14ac:dyDescent="0.2">
      <c r="B15" s="54">
        <v>5</v>
      </c>
      <c r="C15" s="45">
        <f t="shared" si="6"/>
        <v>1</v>
      </c>
      <c r="E15" s="47">
        <f t="shared" si="7"/>
        <v>0</v>
      </c>
      <c r="F15" s="47">
        <f t="shared" si="7"/>
        <v>0</v>
      </c>
      <c r="G15" s="46"/>
      <c r="H15" s="46"/>
      <c r="I15" s="46"/>
      <c r="J15" s="46"/>
      <c r="K15" s="46"/>
      <c r="L15" s="46"/>
      <c r="M15" s="46"/>
      <c r="N15" s="46"/>
      <c r="O15" s="46">
        <f t="shared" si="8"/>
        <v>0</v>
      </c>
      <c r="P15" s="46">
        <f t="shared" si="8"/>
        <v>0</v>
      </c>
      <c r="Q15" s="46">
        <f t="shared" si="8"/>
        <v>0</v>
      </c>
      <c r="R15" s="46">
        <f t="shared" si="8"/>
        <v>0</v>
      </c>
      <c r="S15" s="46">
        <f t="shared" si="8"/>
        <v>0</v>
      </c>
      <c r="T15" s="46">
        <f t="shared" si="8"/>
        <v>0</v>
      </c>
      <c r="U15" s="46">
        <f t="shared" si="8"/>
        <v>0</v>
      </c>
      <c r="V15" s="46">
        <f t="shared" si="8"/>
        <v>0</v>
      </c>
      <c r="W15" s="46">
        <f t="shared" si="8"/>
        <v>0</v>
      </c>
      <c r="X15" s="46">
        <f t="shared" si="8"/>
        <v>0</v>
      </c>
      <c r="Y15" s="46">
        <f t="shared" si="9"/>
        <v>0</v>
      </c>
      <c r="Z15" s="46">
        <f t="shared" si="9"/>
        <v>0</v>
      </c>
      <c r="AA15" s="46">
        <f t="shared" si="9"/>
        <v>0</v>
      </c>
      <c r="AB15" s="46">
        <f t="shared" si="9"/>
        <v>0</v>
      </c>
      <c r="AC15" s="46">
        <f t="shared" si="9"/>
        <v>0</v>
      </c>
      <c r="AD15" s="46">
        <f t="shared" si="9"/>
        <v>0</v>
      </c>
      <c r="AE15" s="46">
        <f t="shared" si="9"/>
        <v>0</v>
      </c>
      <c r="AF15" s="46">
        <f t="shared" si="9"/>
        <v>0</v>
      </c>
      <c r="AG15" s="46">
        <f t="shared" si="9"/>
        <v>0</v>
      </c>
      <c r="AH15" s="46">
        <f t="shared" si="9"/>
        <v>0</v>
      </c>
      <c r="AI15" s="46"/>
      <c r="AJ15" s="46"/>
      <c r="AP15" s="46">
        <f t="shared" si="10"/>
        <v>0</v>
      </c>
    </row>
    <row r="16" spans="1:44" s="36" customFormat="1" hidden="1" x14ac:dyDescent="0.2">
      <c r="B16" s="56">
        <v>6</v>
      </c>
      <c r="C16" s="50">
        <f t="shared" si="6"/>
        <v>0</v>
      </c>
      <c r="E16" s="52">
        <f t="shared" si="7"/>
        <v>0</v>
      </c>
      <c r="F16" s="52">
        <f t="shared" si="7"/>
        <v>0</v>
      </c>
      <c r="G16" s="51"/>
      <c r="H16" s="51"/>
      <c r="I16" s="51"/>
      <c r="J16" s="51"/>
      <c r="K16" s="51"/>
      <c r="L16" s="51"/>
      <c r="M16" s="51"/>
      <c r="N16" s="51"/>
      <c r="O16" s="51">
        <f t="shared" si="8"/>
        <v>0</v>
      </c>
      <c r="P16" s="51">
        <f t="shared" si="8"/>
        <v>0</v>
      </c>
      <c r="Q16" s="51">
        <f t="shared" si="8"/>
        <v>0</v>
      </c>
      <c r="R16" s="51">
        <f t="shared" si="8"/>
        <v>0</v>
      </c>
      <c r="S16" s="51">
        <f t="shared" si="8"/>
        <v>0</v>
      </c>
      <c r="T16" s="51">
        <f t="shared" si="8"/>
        <v>0</v>
      </c>
      <c r="U16" s="51">
        <f t="shared" si="8"/>
        <v>0</v>
      </c>
      <c r="V16" s="51">
        <f t="shared" si="8"/>
        <v>0</v>
      </c>
      <c r="W16" s="51">
        <f t="shared" si="8"/>
        <v>0</v>
      </c>
      <c r="X16" s="51">
        <f t="shared" si="8"/>
        <v>0</v>
      </c>
      <c r="Y16" s="51">
        <f t="shared" si="9"/>
        <v>0</v>
      </c>
      <c r="Z16" s="51">
        <f t="shared" si="9"/>
        <v>0</v>
      </c>
      <c r="AA16" s="51">
        <f t="shared" si="9"/>
        <v>0</v>
      </c>
      <c r="AB16" s="51">
        <f t="shared" si="9"/>
        <v>0</v>
      </c>
      <c r="AC16" s="51">
        <f t="shared" si="9"/>
        <v>0</v>
      </c>
      <c r="AD16" s="51">
        <f t="shared" si="9"/>
        <v>0</v>
      </c>
      <c r="AE16" s="51">
        <f t="shared" si="9"/>
        <v>0</v>
      </c>
      <c r="AF16" s="51">
        <f t="shared" si="9"/>
        <v>0</v>
      </c>
      <c r="AG16" s="51">
        <f t="shared" si="9"/>
        <v>0</v>
      </c>
      <c r="AH16" s="51">
        <f t="shared" si="9"/>
        <v>0</v>
      </c>
      <c r="AI16" s="51"/>
      <c r="AJ16" s="51"/>
      <c r="AP16" s="51">
        <f t="shared" si="10"/>
        <v>0</v>
      </c>
    </row>
    <row r="17" spans="1:45" s="36" customFormat="1" ht="5.25" hidden="1" customHeight="1" x14ac:dyDescent="0.2"/>
    <row r="18" spans="1:45" s="36" customFormat="1" ht="16.5" customHeight="1" x14ac:dyDescent="0.2">
      <c r="A18" s="159" t="s">
        <v>321</v>
      </c>
      <c r="B18" s="159"/>
      <c r="C18" s="159"/>
    </row>
    <row r="19" spans="1:45" s="57" customFormat="1" ht="42.75" customHeight="1" x14ac:dyDescent="0.2">
      <c r="B19" s="58"/>
      <c r="C19" s="62" t="s">
        <v>32</v>
      </c>
      <c r="D19" s="120" t="s">
        <v>213</v>
      </c>
      <c r="E19" s="153" t="s">
        <v>281</v>
      </c>
      <c r="F19" s="153" t="s">
        <v>323</v>
      </c>
      <c r="G19" s="153" t="s">
        <v>281</v>
      </c>
      <c r="H19" s="163" t="s">
        <v>336</v>
      </c>
      <c r="I19" s="163"/>
      <c r="J19" s="163"/>
      <c r="K19" s="163"/>
      <c r="L19" s="163"/>
      <c r="M19" s="163"/>
      <c r="N19" s="163"/>
      <c r="O19" s="59" t="s">
        <v>338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1"/>
      <c r="AK19" s="59" t="s">
        <v>17</v>
      </c>
      <c r="AL19" s="60"/>
      <c r="AM19" s="60"/>
      <c r="AN19" s="60"/>
      <c r="AO19" s="61"/>
      <c r="AP19" s="61" t="s">
        <v>244</v>
      </c>
      <c r="AQ19" s="62" t="s">
        <v>15</v>
      </c>
      <c r="AR19" s="36"/>
    </row>
    <row r="20" spans="1:45" s="36" customFormat="1" x14ac:dyDescent="0.2">
      <c r="B20" s="38"/>
      <c r="C20" s="38"/>
      <c r="D20" s="38"/>
      <c r="E20" s="149"/>
      <c r="F20" s="149"/>
      <c r="G20" s="212"/>
      <c r="H20" s="160" t="s">
        <v>324</v>
      </c>
      <c r="I20" s="161"/>
      <c r="J20" s="161"/>
      <c r="K20" s="161"/>
      <c r="L20" s="161"/>
      <c r="M20" s="161"/>
      <c r="N20" s="162"/>
      <c r="O20" s="213">
        <v>1</v>
      </c>
      <c r="P20" s="213">
        <v>2</v>
      </c>
      <c r="Q20" s="213">
        <v>3</v>
      </c>
      <c r="R20" s="216">
        <v>4</v>
      </c>
      <c r="S20" s="216">
        <v>5</v>
      </c>
      <c r="T20" s="216">
        <v>6</v>
      </c>
      <c r="U20" s="219">
        <v>7</v>
      </c>
      <c r="V20" s="219">
        <v>8</v>
      </c>
      <c r="W20" s="219">
        <v>9</v>
      </c>
      <c r="X20" s="222">
        <v>10</v>
      </c>
      <c r="Y20" s="222">
        <v>11</v>
      </c>
      <c r="Z20" s="222">
        <v>12</v>
      </c>
      <c r="AA20" s="193">
        <v>13</v>
      </c>
      <c r="AB20" s="193">
        <v>14</v>
      </c>
      <c r="AC20" s="193">
        <v>15</v>
      </c>
      <c r="AD20" s="193">
        <v>16</v>
      </c>
      <c r="AE20" s="190">
        <v>17</v>
      </c>
      <c r="AF20" s="193">
        <v>18</v>
      </c>
      <c r="AG20" s="193">
        <v>19</v>
      </c>
      <c r="AH20" s="193">
        <v>20</v>
      </c>
      <c r="AI20" s="193">
        <v>21</v>
      </c>
      <c r="AJ20" s="193">
        <v>22</v>
      </c>
      <c r="AK20" s="55" t="s">
        <v>16</v>
      </c>
      <c r="AL20" s="55"/>
      <c r="AM20" s="55"/>
      <c r="AN20" s="55"/>
      <c r="AO20" s="55"/>
      <c r="AP20" s="149"/>
      <c r="AQ20" s="38"/>
      <c r="AS20" s="63"/>
    </row>
    <row r="21" spans="1:45" s="36" customFormat="1" ht="36" customHeight="1" x14ac:dyDescent="0.2">
      <c r="B21" s="48" t="s">
        <v>10</v>
      </c>
      <c r="C21" s="48" t="s">
        <v>0</v>
      </c>
      <c r="D21" s="48" t="s">
        <v>213</v>
      </c>
      <c r="E21" s="148" t="s">
        <v>282</v>
      </c>
      <c r="F21" s="148" t="s">
        <v>322</v>
      </c>
      <c r="G21" s="148" t="s">
        <v>436</v>
      </c>
      <c r="H21" s="148" t="s">
        <v>326</v>
      </c>
      <c r="I21" s="148" t="s">
        <v>327</v>
      </c>
      <c r="J21" s="148" t="s">
        <v>328</v>
      </c>
      <c r="K21" s="148" t="s">
        <v>330</v>
      </c>
      <c r="L21" s="148" t="s">
        <v>331</v>
      </c>
      <c r="M21" s="148" t="s">
        <v>333</v>
      </c>
      <c r="N21" s="148" t="s">
        <v>334</v>
      </c>
      <c r="O21" s="213" t="s">
        <v>342</v>
      </c>
      <c r="P21" s="213" t="s">
        <v>343</v>
      </c>
      <c r="Q21" s="213" t="s">
        <v>344</v>
      </c>
      <c r="R21" s="216" t="s">
        <v>339</v>
      </c>
      <c r="S21" s="216" t="s">
        <v>340</v>
      </c>
      <c r="T21" s="216" t="s">
        <v>341</v>
      </c>
      <c r="U21" s="219" t="s">
        <v>345</v>
      </c>
      <c r="V21" s="219" t="s">
        <v>346</v>
      </c>
      <c r="W21" s="219" t="s">
        <v>347</v>
      </c>
      <c r="X21" s="222" t="s">
        <v>348</v>
      </c>
      <c r="Y21" s="222" t="s">
        <v>349</v>
      </c>
      <c r="Z21" s="222" t="s">
        <v>350</v>
      </c>
      <c r="AA21" s="193" t="s">
        <v>351</v>
      </c>
      <c r="AB21" s="193" t="s">
        <v>352</v>
      </c>
      <c r="AC21" s="193" t="s">
        <v>353</v>
      </c>
      <c r="AD21" s="193" t="s">
        <v>354</v>
      </c>
      <c r="AE21" s="191"/>
      <c r="AF21" s="194"/>
      <c r="AG21" s="194"/>
      <c r="AH21" s="194"/>
      <c r="AI21" s="194"/>
      <c r="AJ21" s="194"/>
      <c r="AK21" s="55" t="s">
        <v>1</v>
      </c>
      <c r="AL21" s="102" t="s">
        <v>115</v>
      </c>
      <c r="AM21" s="102" t="s">
        <v>116</v>
      </c>
      <c r="AN21" s="55" t="s">
        <v>2</v>
      </c>
      <c r="AO21" s="55" t="s">
        <v>3</v>
      </c>
      <c r="AP21" s="148" t="s">
        <v>243</v>
      </c>
      <c r="AQ21" s="48" t="s">
        <v>14</v>
      </c>
      <c r="AS21" s="64" t="s">
        <v>18</v>
      </c>
    </row>
    <row r="22" spans="1:45" x14ac:dyDescent="0.2">
      <c r="B22" s="7">
        <f>ROW()-ROW(B$21)</f>
        <v>1</v>
      </c>
      <c r="C22" s="30">
        <v>5</v>
      </c>
      <c r="D22" s="30" t="s">
        <v>444</v>
      </c>
      <c r="E22" s="30">
        <v>1</v>
      </c>
      <c r="F22" s="30">
        <v>1</v>
      </c>
      <c r="G22" s="30">
        <v>2</v>
      </c>
      <c r="H22" s="30"/>
      <c r="I22" s="30">
        <v>1</v>
      </c>
      <c r="J22" s="30">
        <v>1</v>
      </c>
      <c r="K22" s="30"/>
      <c r="L22" s="30"/>
      <c r="M22" s="30"/>
      <c r="N22" s="30">
        <v>1</v>
      </c>
      <c r="O22" s="214">
        <v>1</v>
      </c>
      <c r="P22" s="214">
        <v>2</v>
      </c>
      <c r="Q22" s="214">
        <v>2</v>
      </c>
      <c r="R22" s="217">
        <v>1</v>
      </c>
      <c r="S22" s="217">
        <v>3</v>
      </c>
      <c r="T22" s="217">
        <v>2</v>
      </c>
      <c r="U22" s="220">
        <v>2</v>
      </c>
      <c r="V22" s="220">
        <v>1</v>
      </c>
      <c r="W22" s="220">
        <v>1</v>
      </c>
      <c r="X22" s="223">
        <v>2</v>
      </c>
      <c r="Y22" s="223">
        <v>3</v>
      </c>
      <c r="Z22" s="223">
        <v>2</v>
      </c>
      <c r="AA22" s="195">
        <v>4</v>
      </c>
      <c r="AB22" s="195">
        <v>1</v>
      </c>
      <c r="AC22" s="195">
        <v>1</v>
      </c>
      <c r="AD22" s="195">
        <v>2</v>
      </c>
      <c r="AE22" s="192"/>
      <c r="AF22" s="195"/>
      <c r="AG22" s="195"/>
      <c r="AH22" s="195"/>
      <c r="AI22" s="195"/>
      <c r="AJ22" s="195"/>
      <c r="AK22" s="179">
        <v>12000</v>
      </c>
      <c r="AL22" s="179">
        <v>10000</v>
      </c>
      <c r="AM22" s="179"/>
      <c r="AN22" s="179"/>
      <c r="AO22" s="179">
        <v>8000</v>
      </c>
      <c r="AP22" s="30"/>
      <c r="AQ22" s="75"/>
      <c r="AR22" s="3"/>
      <c r="AS22" s="1">
        <f t="shared" ref="AS22:AS85" si="11">IF(COUNT(C22:AH22)&gt;0,B22,"")</f>
        <v>1</v>
      </c>
    </row>
    <row r="23" spans="1:45" x14ac:dyDescent="0.2">
      <c r="B23" s="8">
        <f t="shared" ref="B23:B86" si="12">ROW()-ROW(B$21)</f>
        <v>2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214"/>
      <c r="P23" s="214"/>
      <c r="Q23" s="214"/>
      <c r="R23" s="217"/>
      <c r="S23" s="217"/>
      <c r="T23" s="217"/>
      <c r="U23" s="220"/>
      <c r="V23" s="220"/>
      <c r="W23" s="220"/>
      <c r="X23" s="223"/>
      <c r="Y23" s="223"/>
      <c r="Z23" s="223"/>
      <c r="AA23" s="195"/>
      <c r="AB23" s="195"/>
      <c r="AC23" s="195"/>
      <c r="AD23" s="195"/>
      <c r="AE23" s="192"/>
      <c r="AF23" s="195"/>
      <c r="AG23" s="195"/>
      <c r="AH23" s="195"/>
      <c r="AI23" s="195"/>
      <c r="AJ23" s="195"/>
      <c r="AK23" s="179"/>
      <c r="AL23" s="179"/>
      <c r="AM23" s="179"/>
      <c r="AN23" s="179"/>
      <c r="AO23" s="179"/>
      <c r="AP23" s="30"/>
      <c r="AQ23" s="75"/>
      <c r="AR23" s="2"/>
      <c r="AS23" s="1" t="str">
        <f t="shared" si="11"/>
        <v/>
      </c>
    </row>
    <row r="24" spans="1:45" x14ac:dyDescent="0.2">
      <c r="B24" s="8">
        <f t="shared" si="12"/>
        <v>3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214"/>
      <c r="P24" s="214"/>
      <c r="Q24" s="214"/>
      <c r="R24" s="217"/>
      <c r="S24" s="217"/>
      <c r="T24" s="217"/>
      <c r="U24" s="220"/>
      <c r="V24" s="220"/>
      <c r="W24" s="220"/>
      <c r="X24" s="223"/>
      <c r="Y24" s="223"/>
      <c r="Z24" s="223"/>
      <c r="AA24" s="195"/>
      <c r="AB24" s="195"/>
      <c r="AC24" s="195"/>
      <c r="AD24" s="195"/>
      <c r="AE24" s="192"/>
      <c r="AF24" s="195"/>
      <c r="AG24" s="195"/>
      <c r="AH24" s="195"/>
      <c r="AI24" s="195"/>
      <c r="AJ24" s="195"/>
      <c r="AK24" s="179"/>
      <c r="AL24" s="179"/>
      <c r="AM24" s="179"/>
      <c r="AN24" s="179"/>
      <c r="AO24" s="179"/>
      <c r="AP24" s="30"/>
      <c r="AQ24" s="75"/>
      <c r="AR24" s="2"/>
      <c r="AS24" s="1" t="str">
        <f t="shared" si="11"/>
        <v/>
      </c>
    </row>
    <row r="25" spans="1:45" x14ac:dyDescent="0.2">
      <c r="B25" s="8">
        <f t="shared" si="12"/>
        <v>4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214"/>
      <c r="P25" s="214"/>
      <c r="Q25" s="214"/>
      <c r="R25" s="217"/>
      <c r="S25" s="217"/>
      <c r="T25" s="217"/>
      <c r="U25" s="220"/>
      <c r="V25" s="220"/>
      <c r="W25" s="220"/>
      <c r="X25" s="223"/>
      <c r="Y25" s="223"/>
      <c r="Z25" s="223"/>
      <c r="AA25" s="195"/>
      <c r="AB25" s="195"/>
      <c r="AC25" s="195"/>
      <c r="AD25" s="195"/>
      <c r="AE25" s="192"/>
      <c r="AF25" s="195"/>
      <c r="AG25" s="195"/>
      <c r="AH25" s="195"/>
      <c r="AI25" s="195"/>
      <c r="AJ25" s="195"/>
      <c r="AK25" s="179"/>
      <c r="AL25" s="179"/>
      <c r="AM25" s="179"/>
      <c r="AN25" s="179"/>
      <c r="AO25" s="179"/>
      <c r="AP25" s="30"/>
      <c r="AQ25" s="75"/>
      <c r="AR25" s="2"/>
      <c r="AS25" s="1" t="str">
        <f t="shared" si="11"/>
        <v/>
      </c>
    </row>
    <row r="26" spans="1:45" x14ac:dyDescent="0.2">
      <c r="B26" s="8">
        <f t="shared" si="12"/>
        <v>5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214"/>
      <c r="P26" s="214"/>
      <c r="Q26" s="214"/>
      <c r="R26" s="217"/>
      <c r="S26" s="217"/>
      <c r="T26" s="217"/>
      <c r="U26" s="220"/>
      <c r="V26" s="220"/>
      <c r="W26" s="220"/>
      <c r="X26" s="223"/>
      <c r="Y26" s="223"/>
      <c r="Z26" s="223"/>
      <c r="AA26" s="195"/>
      <c r="AB26" s="195"/>
      <c r="AC26" s="195"/>
      <c r="AD26" s="195"/>
      <c r="AE26" s="192"/>
      <c r="AF26" s="195"/>
      <c r="AG26" s="195"/>
      <c r="AH26" s="195"/>
      <c r="AI26" s="195"/>
      <c r="AJ26" s="195"/>
      <c r="AK26" s="179"/>
      <c r="AL26" s="179"/>
      <c r="AM26" s="179"/>
      <c r="AN26" s="179"/>
      <c r="AO26" s="179"/>
      <c r="AP26" s="30"/>
      <c r="AQ26" s="75"/>
      <c r="AR26" s="2"/>
      <c r="AS26" s="1" t="str">
        <f t="shared" si="11"/>
        <v/>
      </c>
    </row>
    <row r="27" spans="1:45" x14ac:dyDescent="0.2">
      <c r="B27" s="8">
        <f t="shared" si="12"/>
        <v>6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214"/>
      <c r="P27" s="214"/>
      <c r="Q27" s="214"/>
      <c r="R27" s="217"/>
      <c r="S27" s="217"/>
      <c r="T27" s="217"/>
      <c r="U27" s="220"/>
      <c r="V27" s="220"/>
      <c r="W27" s="220"/>
      <c r="X27" s="223"/>
      <c r="Y27" s="223"/>
      <c r="Z27" s="223"/>
      <c r="AA27" s="195"/>
      <c r="AB27" s="195"/>
      <c r="AC27" s="195"/>
      <c r="AD27" s="195"/>
      <c r="AE27" s="192"/>
      <c r="AF27" s="195"/>
      <c r="AG27" s="195"/>
      <c r="AH27" s="195"/>
      <c r="AI27" s="195"/>
      <c r="AJ27" s="195"/>
      <c r="AK27" s="179"/>
      <c r="AL27" s="179"/>
      <c r="AM27" s="179"/>
      <c r="AN27" s="179"/>
      <c r="AO27" s="179"/>
      <c r="AP27" s="30"/>
      <c r="AQ27" s="75"/>
      <c r="AR27" s="2"/>
      <c r="AS27" s="1" t="str">
        <f t="shared" si="11"/>
        <v/>
      </c>
    </row>
    <row r="28" spans="1:45" x14ac:dyDescent="0.2">
      <c r="B28" s="8">
        <f t="shared" si="12"/>
        <v>7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214"/>
      <c r="P28" s="214"/>
      <c r="Q28" s="214"/>
      <c r="R28" s="217"/>
      <c r="S28" s="217"/>
      <c r="T28" s="217"/>
      <c r="U28" s="220"/>
      <c r="V28" s="220"/>
      <c r="W28" s="220"/>
      <c r="X28" s="223"/>
      <c r="Y28" s="223"/>
      <c r="Z28" s="223"/>
      <c r="AA28" s="195"/>
      <c r="AB28" s="195"/>
      <c r="AC28" s="195"/>
      <c r="AD28" s="195"/>
      <c r="AE28" s="192"/>
      <c r="AF28" s="195"/>
      <c r="AG28" s="195"/>
      <c r="AH28" s="195"/>
      <c r="AI28" s="195"/>
      <c r="AJ28" s="195"/>
      <c r="AK28" s="179"/>
      <c r="AL28" s="179"/>
      <c r="AM28" s="179"/>
      <c r="AN28" s="179"/>
      <c r="AO28" s="179"/>
      <c r="AP28" s="30"/>
      <c r="AQ28" s="75"/>
      <c r="AR28" s="2"/>
      <c r="AS28" s="1" t="str">
        <f t="shared" si="11"/>
        <v/>
      </c>
    </row>
    <row r="29" spans="1:45" x14ac:dyDescent="0.2">
      <c r="B29" s="8">
        <f t="shared" si="12"/>
        <v>8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14"/>
      <c r="P29" s="214"/>
      <c r="Q29" s="214"/>
      <c r="R29" s="217"/>
      <c r="S29" s="217"/>
      <c r="T29" s="217"/>
      <c r="U29" s="220"/>
      <c r="V29" s="220"/>
      <c r="W29" s="220"/>
      <c r="X29" s="223"/>
      <c r="Y29" s="223"/>
      <c r="Z29" s="223"/>
      <c r="AA29" s="195"/>
      <c r="AB29" s="195"/>
      <c r="AC29" s="195"/>
      <c r="AD29" s="195"/>
      <c r="AE29" s="192"/>
      <c r="AF29" s="195"/>
      <c r="AG29" s="195"/>
      <c r="AH29" s="195"/>
      <c r="AI29" s="195"/>
      <c r="AJ29" s="195"/>
      <c r="AK29" s="179"/>
      <c r="AL29" s="179"/>
      <c r="AM29" s="179"/>
      <c r="AN29" s="179"/>
      <c r="AO29" s="179"/>
      <c r="AP29" s="30"/>
      <c r="AQ29" s="75"/>
      <c r="AR29" s="2"/>
      <c r="AS29" s="1" t="str">
        <f t="shared" si="11"/>
        <v/>
      </c>
    </row>
    <row r="30" spans="1:45" x14ac:dyDescent="0.2">
      <c r="B30" s="8">
        <f t="shared" si="12"/>
        <v>9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214"/>
      <c r="P30" s="214"/>
      <c r="Q30" s="214"/>
      <c r="R30" s="217"/>
      <c r="S30" s="217"/>
      <c r="T30" s="217"/>
      <c r="U30" s="220"/>
      <c r="V30" s="220"/>
      <c r="W30" s="220"/>
      <c r="X30" s="223"/>
      <c r="Y30" s="223"/>
      <c r="Z30" s="223"/>
      <c r="AA30" s="195"/>
      <c r="AB30" s="195"/>
      <c r="AC30" s="195"/>
      <c r="AD30" s="195"/>
      <c r="AE30" s="192"/>
      <c r="AF30" s="195"/>
      <c r="AG30" s="195"/>
      <c r="AH30" s="195"/>
      <c r="AI30" s="195"/>
      <c r="AJ30" s="195"/>
      <c r="AK30" s="179"/>
      <c r="AL30" s="179"/>
      <c r="AM30" s="179"/>
      <c r="AN30" s="179"/>
      <c r="AO30" s="179"/>
      <c r="AP30" s="30"/>
      <c r="AQ30" s="75"/>
      <c r="AR30" s="2"/>
      <c r="AS30" s="1" t="str">
        <f t="shared" si="11"/>
        <v/>
      </c>
    </row>
    <row r="31" spans="1:45" x14ac:dyDescent="0.2">
      <c r="B31" s="8">
        <f t="shared" si="12"/>
        <v>10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214"/>
      <c r="P31" s="214"/>
      <c r="Q31" s="214"/>
      <c r="R31" s="217"/>
      <c r="S31" s="217"/>
      <c r="T31" s="217"/>
      <c r="U31" s="220"/>
      <c r="V31" s="220"/>
      <c r="W31" s="220"/>
      <c r="X31" s="223"/>
      <c r="Y31" s="223"/>
      <c r="Z31" s="223"/>
      <c r="AA31" s="195"/>
      <c r="AB31" s="195"/>
      <c r="AC31" s="195"/>
      <c r="AD31" s="195"/>
      <c r="AE31" s="192"/>
      <c r="AF31" s="195"/>
      <c r="AG31" s="195"/>
      <c r="AH31" s="195"/>
      <c r="AI31" s="195"/>
      <c r="AJ31" s="195"/>
      <c r="AK31" s="179"/>
      <c r="AL31" s="179"/>
      <c r="AM31" s="179"/>
      <c r="AN31" s="179"/>
      <c r="AO31" s="179"/>
      <c r="AP31" s="30"/>
      <c r="AQ31" s="75"/>
      <c r="AR31" s="2"/>
      <c r="AS31" s="1" t="str">
        <f t="shared" si="11"/>
        <v/>
      </c>
    </row>
    <row r="32" spans="1:45" x14ac:dyDescent="0.2">
      <c r="B32" s="8">
        <f t="shared" si="12"/>
        <v>11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214"/>
      <c r="P32" s="214"/>
      <c r="Q32" s="214"/>
      <c r="R32" s="217"/>
      <c r="S32" s="217"/>
      <c r="T32" s="217"/>
      <c r="U32" s="220"/>
      <c r="V32" s="220"/>
      <c r="W32" s="220"/>
      <c r="X32" s="223"/>
      <c r="Y32" s="223"/>
      <c r="Z32" s="223"/>
      <c r="AA32" s="195"/>
      <c r="AB32" s="195"/>
      <c r="AC32" s="195"/>
      <c r="AD32" s="195"/>
      <c r="AE32" s="192"/>
      <c r="AF32" s="195"/>
      <c r="AG32" s="195"/>
      <c r="AH32" s="195"/>
      <c r="AI32" s="195"/>
      <c r="AJ32" s="195"/>
      <c r="AK32" s="179"/>
      <c r="AL32" s="179"/>
      <c r="AM32" s="179"/>
      <c r="AN32" s="179"/>
      <c r="AO32" s="179"/>
      <c r="AP32" s="30"/>
      <c r="AQ32" s="75"/>
      <c r="AR32" s="2"/>
      <c r="AS32" s="1" t="str">
        <f t="shared" si="11"/>
        <v/>
      </c>
    </row>
    <row r="33" spans="2:45" x14ac:dyDescent="0.2">
      <c r="B33" s="8">
        <f t="shared" si="12"/>
        <v>12</v>
      </c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214"/>
      <c r="P33" s="214"/>
      <c r="Q33" s="214"/>
      <c r="R33" s="217"/>
      <c r="S33" s="217"/>
      <c r="T33" s="217"/>
      <c r="U33" s="220"/>
      <c r="V33" s="220"/>
      <c r="W33" s="220"/>
      <c r="X33" s="223"/>
      <c r="Y33" s="223"/>
      <c r="Z33" s="223"/>
      <c r="AA33" s="195"/>
      <c r="AB33" s="195"/>
      <c r="AC33" s="195"/>
      <c r="AD33" s="195"/>
      <c r="AE33" s="192"/>
      <c r="AF33" s="195"/>
      <c r="AG33" s="195"/>
      <c r="AH33" s="195"/>
      <c r="AI33" s="195"/>
      <c r="AJ33" s="195"/>
      <c r="AK33" s="179"/>
      <c r="AL33" s="179"/>
      <c r="AM33" s="179"/>
      <c r="AN33" s="179"/>
      <c r="AO33" s="179"/>
      <c r="AP33" s="30"/>
      <c r="AQ33" s="75"/>
      <c r="AR33" s="2"/>
      <c r="AS33" s="1" t="str">
        <f t="shared" si="11"/>
        <v/>
      </c>
    </row>
    <row r="34" spans="2:45" x14ac:dyDescent="0.2">
      <c r="B34" s="8">
        <f t="shared" si="12"/>
        <v>13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214"/>
      <c r="P34" s="214"/>
      <c r="Q34" s="214"/>
      <c r="R34" s="217"/>
      <c r="S34" s="217"/>
      <c r="T34" s="217"/>
      <c r="U34" s="220"/>
      <c r="V34" s="220"/>
      <c r="W34" s="220"/>
      <c r="X34" s="223"/>
      <c r="Y34" s="223"/>
      <c r="Z34" s="223"/>
      <c r="AA34" s="195"/>
      <c r="AB34" s="195"/>
      <c r="AC34" s="195"/>
      <c r="AD34" s="195"/>
      <c r="AE34" s="192"/>
      <c r="AF34" s="195"/>
      <c r="AG34" s="195"/>
      <c r="AH34" s="195"/>
      <c r="AI34" s="195"/>
      <c r="AJ34" s="195"/>
      <c r="AK34" s="179"/>
      <c r="AL34" s="179"/>
      <c r="AM34" s="179"/>
      <c r="AN34" s="179"/>
      <c r="AO34" s="179"/>
      <c r="AP34" s="30"/>
      <c r="AQ34" s="75"/>
      <c r="AR34" s="2"/>
      <c r="AS34" s="1" t="str">
        <f t="shared" si="11"/>
        <v/>
      </c>
    </row>
    <row r="35" spans="2:45" x14ac:dyDescent="0.2">
      <c r="B35" s="8">
        <f t="shared" si="12"/>
        <v>14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214"/>
      <c r="P35" s="214"/>
      <c r="Q35" s="214"/>
      <c r="R35" s="217"/>
      <c r="S35" s="217"/>
      <c r="T35" s="217"/>
      <c r="U35" s="220"/>
      <c r="V35" s="220"/>
      <c r="W35" s="220"/>
      <c r="X35" s="223"/>
      <c r="Y35" s="223"/>
      <c r="Z35" s="223"/>
      <c r="AA35" s="195"/>
      <c r="AB35" s="195"/>
      <c r="AC35" s="195"/>
      <c r="AD35" s="195"/>
      <c r="AE35" s="192"/>
      <c r="AF35" s="195"/>
      <c r="AG35" s="195"/>
      <c r="AH35" s="195"/>
      <c r="AI35" s="195"/>
      <c r="AJ35" s="195"/>
      <c r="AK35" s="179"/>
      <c r="AL35" s="179"/>
      <c r="AM35" s="179"/>
      <c r="AN35" s="179"/>
      <c r="AO35" s="179"/>
      <c r="AP35" s="30"/>
      <c r="AQ35" s="75"/>
      <c r="AR35" s="2"/>
      <c r="AS35" s="1" t="str">
        <f t="shared" si="11"/>
        <v/>
      </c>
    </row>
    <row r="36" spans="2:45" x14ac:dyDescent="0.2">
      <c r="B36" s="8">
        <f t="shared" si="12"/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214"/>
      <c r="P36" s="214"/>
      <c r="Q36" s="214"/>
      <c r="R36" s="217"/>
      <c r="S36" s="217"/>
      <c r="T36" s="217"/>
      <c r="U36" s="220"/>
      <c r="V36" s="220"/>
      <c r="W36" s="220"/>
      <c r="X36" s="223"/>
      <c r="Y36" s="223"/>
      <c r="Z36" s="223"/>
      <c r="AA36" s="195"/>
      <c r="AB36" s="195"/>
      <c r="AC36" s="195"/>
      <c r="AD36" s="195"/>
      <c r="AE36" s="192"/>
      <c r="AF36" s="195"/>
      <c r="AG36" s="195"/>
      <c r="AH36" s="195"/>
      <c r="AI36" s="195"/>
      <c r="AJ36" s="195"/>
      <c r="AK36" s="179"/>
      <c r="AL36" s="179"/>
      <c r="AM36" s="179"/>
      <c r="AN36" s="179"/>
      <c r="AO36" s="179"/>
      <c r="AP36" s="30"/>
      <c r="AQ36" s="75"/>
      <c r="AR36" s="2"/>
      <c r="AS36" s="1" t="str">
        <f t="shared" si="11"/>
        <v/>
      </c>
    </row>
    <row r="37" spans="2:45" x14ac:dyDescent="0.2">
      <c r="B37" s="8">
        <f t="shared" si="12"/>
        <v>16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214"/>
      <c r="P37" s="214"/>
      <c r="Q37" s="214"/>
      <c r="R37" s="217"/>
      <c r="S37" s="217"/>
      <c r="T37" s="217"/>
      <c r="U37" s="220"/>
      <c r="V37" s="220"/>
      <c r="W37" s="220"/>
      <c r="X37" s="223"/>
      <c r="Y37" s="223"/>
      <c r="Z37" s="223"/>
      <c r="AA37" s="195"/>
      <c r="AB37" s="195"/>
      <c r="AC37" s="195"/>
      <c r="AD37" s="195"/>
      <c r="AE37" s="192"/>
      <c r="AF37" s="195"/>
      <c r="AG37" s="195"/>
      <c r="AH37" s="195"/>
      <c r="AI37" s="195"/>
      <c r="AJ37" s="195"/>
      <c r="AK37" s="179"/>
      <c r="AL37" s="179"/>
      <c r="AM37" s="179"/>
      <c r="AN37" s="179"/>
      <c r="AO37" s="179"/>
      <c r="AP37" s="30"/>
      <c r="AQ37" s="75"/>
      <c r="AR37" s="2"/>
      <c r="AS37" s="1" t="str">
        <f t="shared" si="11"/>
        <v/>
      </c>
    </row>
    <row r="38" spans="2:45" x14ac:dyDescent="0.2">
      <c r="B38" s="8">
        <f t="shared" si="12"/>
        <v>17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214"/>
      <c r="P38" s="214"/>
      <c r="Q38" s="214"/>
      <c r="R38" s="217"/>
      <c r="S38" s="217"/>
      <c r="T38" s="217"/>
      <c r="U38" s="220"/>
      <c r="V38" s="220"/>
      <c r="W38" s="220"/>
      <c r="X38" s="223"/>
      <c r="Y38" s="223"/>
      <c r="Z38" s="223"/>
      <c r="AA38" s="195"/>
      <c r="AB38" s="195"/>
      <c r="AC38" s="195"/>
      <c r="AD38" s="195"/>
      <c r="AE38" s="192"/>
      <c r="AF38" s="195"/>
      <c r="AG38" s="195"/>
      <c r="AH38" s="195"/>
      <c r="AI38" s="195"/>
      <c r="AJ38" s="195"/>
      <c r="AK38" s="179"/>
      <c r="AL38" s="179"/>
      <c r="AM38" s="179"/>
      <c r="AN38" s="179"/>
      <c r="AO38" s="179"/>
      <c r="AP38" s="30"/>
      <c r="AQ38" s="75"/>
      <c r="AR38" s="2"/>
      <c r="AS38" s="1" t="str">
        <f t="shared" si="11"/>
        <v/>
      </c>
    </row>
    <row r="39" spans="2:45" x14ac:dyDescent="0.2">
      <c r="B39" s="8">
        <f t="shared" si="12"/>
        <v>18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214"/>
      <c r="P39" s="214"/>
      <c r="Q39" s="214"/>
      <c r="R39" s="217"/>
      <c r="S39" s="217"/>
      <c r="T39" s="217"/>
      <c r="U39" s="220"/>
      <c r="V39" s="220"/>
      <c r="W39" s="220"/>
      <c r="X39" s="223"/>
      <c r="Y39" s="223"/>
      <c r="Z39" s="223"/>
      <c r="AA39" s="195"/>
      <c r="AB39" s="195"/>
      <c r="AC39" s="195"/>
      <c r="AD39" s="195"/>
      <c r="AE39" s="192"/>
      <c r="AF39" s="195"/>
      <c r="AG39" s="195"/>
      <c r="AH39" s="195"/>
      <c r="AI39" s="195"/>
      <c r="AJ39" s="195"/>
      <c r="AK39" s="179"/>
      <c r="AL39" s="179"/>
      <c r="AM39" s="179"/>
      <c r="AN39" s="179"/>
      <c r="AO39" s="179"/>
      <c r="AP39" s="30"/>
      <c r="AQ39" s="75"/>
      <c r="AR39" s="2"/>
      <c r="AS39" s="1" t="str">
        <f t="shared" si="11"/>
        <v/>
      </c>
    </row>
    <row r="40" spans="2:45" x14ac:dyDescent="0.2">
      <c r="B40" s="8">
        <f t="shared" si="12"/>
        <v>19</v>
      </c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214"/>
      <c r="P40" s="214"/>
      <c r="Q40" s="214"/>
      <c r="R40" s="217"/>
      <c r="S40" s="217"/>
      <c r="T40" s="217"/>
      <c r="U40" s="220"/>
      <c r="V40" s="220"/>
      <c r="W40" s="220"/>
      <c r="X40" s="223"/>
      <c r="Y40" s="223"/>
      <c r="Z40" s="223"/>
      <c r="AA40" s="195"/>
      <c r="AB40" s="195"/>
      <c r="AC40" s="195"/>
      <c r="AD40" s="195"/>
      <c r="AE40" s="192"/>
      <c r="AF40" s="195"/>
      <c r="AG40" s="195"/>
      <c r="AH40" s="195"/>
      <c r="AI40" s="195"/>
      <c r="AJ40" s="195"/>
      <c r="AK40" s="179"/>
      <c r="AL40" s="179"/>
      <c r="AM40" s="179"/>
      <c r="AN40" s="179"/>
      <c r="AO40" s="179"/>
      <c r="AP40" s="30"/>
      <c r="AQ40" s="75"/>
      <c r="AR40" s="2"/>
      <c r="AS40" s="1" t="str">
        <f t="shared" si="11"/>
        <v/>
      </c>
    </row>
    <row r="41" spans="2:45" x14ac:dyDescent="0.2">
      <c r="B41" s="8">
        <f t="shared" si="12"/>
        <v>20</v>
      </c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214"/>
      <c r="P41" s="214"/>
      <c r="Q41" s="214"/>
      <c r="R41" s="217"/>
      <c r="S41" s="217"/>
      <c r="T41" s="217"/>
      <c r="U41" s="220"/>
      <c r="V41" s="220"/>
      <c r="W41" s="220"/>
      <c r="X41" s="223"/>
      <c r="Y41" s="223"/>
      <c r="Z41" s="223"/>
      <c r="AA41" s="195"/>
      <c r="AB41" s="195"/>
      <c r="AC41" s="195"/>
      <c r="AD41" s="195"/>
      <c r="AE41" s="192"/>
      <c r="AF41" s="195"/>
      <c r="AG41" s="195"/>
      <c r="AH41" s="195"/>
      <c r="AI41" s="195"/>
      <c r="AJ41" s="195"/>
      <c r="AK41" s="179"/>
      <c r="AL41" s="179"/>
      <c r="AM41" s="179"/>
      <c r="AN41" s="179"/>
      <c r="AO41" s="179"/>
      <c r="AP41" s="30"/>
      <c r="AQ41" s="75"/>
      <c r="AR41" s="2"/>
      <c r="AS41" s="1" t="str">
        <f t="shared" si="11"/>
        <v/>
      </c>
    </row>
    <row r="42" spans="2:45" x14ac:dyDescent="0.2">
      <c r="B42" s="8">
        <f t="shared" si="12"/>
        <v>21</v>
      </c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214"/>
      <c r="P42" s="214"/>
      <c r="Q42" s="214"/>
      <c r="R42" s="217"/>
      <c r="S42" s="217"/>
      <c r="T42" s="217"/>
      <c r="U42" s="220"/>
      <c r="V42" s="220"/>
      <c r="W42" s="220"/>
      <c r="X42" s="223"/>
      <c r="Y42" s="223"/>
      <c r="Z42" s="223"/>
      <c r="AA42" s="195"/>
      <c r="AB42" s="195"/>
      <c r="AC42" s="195"/>
      <c r="AD42" s="195"/>
      <c r="AE42" s="192"/>
      <c r="AF42" s="195"/>
      <c r="AG42" s="195"/>
      <c r="AH42" s="195"/>
      <c r="AI42" s="195"/>
      <c r="AJ42" s="195"/>
      <c r="AK42" s="179"/>
      <c r="AL42" s="179"/>
      <c r="AM42" s="179"/>
      <c r="AN42" s="179"/>
      <c r="AO42" s="179"/>
      <c r="AP42" s="30"/>
      <c r="AQ42" s="75"/>
      <c r="AR42" s="2"/>
      <c r="AS42" s="1" t="str">
        <f t="shared" si="11"/>
        <v/>
      </c>
    </row>
    <row r="43" spans="2:45" x14ac:dyDescent="0.2">
      <c r="B43" s="8">
        <f t="shared" si="12"/>
        <v>22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214"/>
      <c r="P43" s="214"/>
      <c r="Q43" s="214"/>
      <c r="R43" s="217"/>
      <c r="S43" s="217"/>
      <c r="T43" s="217"/>
      <c r="U43" s="220"/>
      <c r="V43" s="220"/>
      <c r="W43" s="220"/>
      <c r="X43" s="223"/>
      <c r="Y43" s="223"/>
      <c r="Z43" s="223"/>
      <c r="AA43" s="195"/>
      <c r="AB43" s="195"/>
      <c r="AC43" s="195"/>
      <c r="AD43" s="195"/>
      <c r="AE43" s="192"/>
      <c r="AF43" s="195"/>
      <c r="AG43" s="195"/>
      <c r="AH43" s="195"/>
      <c r="AI43" s="195"/>
      <c r="AJ43" s="195"/>
      <c r="AK43" s="179"/>
      <c r="AL43" s="179"/>
      <c r="AM43" s="179"/>
      <c r="AN43" s="179"/>
      <c r="AO43" s="179"/>
      <c r="AP43" s="30"/>
      <c r="AQ43" s="75"/>
      <c r="AR43" s="2"/>
      <c r="AS43" s="1" t="str">
        <f t="shared" si="11"/>
        <v/>
      </c>
    </row>
    <row r="44" spans="2:45" x14ac:dyDescent="0.2">
      <c r="B44" s="8">
        <f t="shared" si="12"/>
        <v>23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214"/>
      <c r="P44" s="214"/>
      <c r="Q44" s="214"/>
      <c r="R44" s="217"/>
      <c r="S44" s="217"/>
      <c r="T44" s="217"/>
      <c r="U44" s="220"/>
      <c r="V44" s="220"/>
      <c r="W44" s="220"/>
      <c r="X44" s="223"/>
      <c r="Y44" s="223"/>
      <c r="Z44" s="223"/>
      <c r="AA44" s="195"/>
      <c r="AB44" s="195"/>
      <c r="AC44" s="195"/>
      <c r="AD44" s="195"/>
      <c r="AE44" s="192"/>
      <c r="AF44" s="195"/>
      <c r="AG44" s="195"/>
      <c r="AH44" s="195"/>
      <c r="AI44" s="195"/>
      <c r="AJ44" s="195"/>
      <c r="AK44" s="179"/>
      <c r="AL44" s="179"/>
      <c r="AM44" s="179"/>
      <c r="AN44" s="179"/>
      <c r="AO44" s="179"/>
      <c r="AP44" s="30"/>
      <c r="AQ44" s="75"/>
      <c r="AR44" s="2"/>
      <c r="AS44" s="1" t="str">
        <f t="shared" si="11"/>
        <v/>
      </c>
    </row>
    <row r="45" spans="2:45" x14ac:dyDescent="0.2">
      <c r="B45" s="8">
        <f t="shared" si="12"/>
        <v>24</v>
      </c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214"/>
      <c r="P45" s="214"/>
      <c r="Q45" s="214"/>
      <c r="R45" s="217"/>
      <c r="S45" s="217"/>
      <c r="T45" s="217"/>
      <c r="U45" s="220"/>
      <c r="V45" s="220"/>
      <c r="W45" s="220"/>
      <c r="X45" s="223"/>
      <c r="Y45" s="223"/>
      <c r="Z45" s="223"/>
      <c r="AA45" s="195"/>
      <c r="AB45" s="195"/>
      <c r="AC45" s="195"/>
      <c r="AD45" s="195"/>
      <c r="AE45" s="192"/>
      <c r="AF45" s="195"/>
      <c r="AG45" s="195"/>
      <c r="AH45" s="195"/>
      <c r="AI45" s="195"/>
      <c r="AJ45" s="195"/>
      <c r="AK45" s="179"/>
      <c r="AL45" s="179"/>
      <c r="AM45" s="179"/>
      <c r="AN45" s="179"/>
      <c r="AO45" s="179"/>
      <c r="AP45" s="30"/>
      <c r="AQ45" s="75"/>
      <c r="AR45" s="2"/>
      <c r="AS45" s="1" t="str">
        <f t="shared" si="11"/>
        <v/>
      </c>
    </row>
    <row r="46" spans="2:45" x14ac:dyDescent="0.2">
      <c r="B46" s="8">
        <f t="shared" si="12"/>
        <v>25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214"/>
      <c r="P46" s="214"/>
      <c r="Q46" s="214"/>
      <c r="R46" s="217"/>
      <c r="S46" s="217"/>
      <c r="T46" s="217"/>
      <c r="U46" s="220"/>
      <c r="V46" s="220"/>
      <c r="W46" s="220"/>
      <c r="X46" s="223"/>
      <c r="Y46" s="223"/>
      <c r="Z46" s="223"/>
      <c r="AA46" s="195"/>
      <c r="AB46" s="195"/>
      <c r="AC46" s="195"/>
      <c r="AD46" s="195"/>
      <c r="AE46" s="192"/>
      <c r="AF46" s="195"/>
      <c r="AG46" s="195"/>
      <c r="AH46" s="195"/>
      <c r="AI46" s="195"/>
      <c r="AJ46" s="195"/>
      <c r="AK46" s="179"/>
      <c r="AL46" s="179"/>
      <c r="AM46" s="179"/>
      <c r="AN46" s="179"/>
      <c r="AO46" s="179"/>
      <c r="AP46" s="30"/>
      <c r="AQ46" s="75"/>
      <c r="AR46" s="2"/>
      <c r="AS46" s="1" t="str">
        <f t="shared" si="11"/>
        <v/>
      </c>
    </row>
    <row r="47" spans="2:45" x14ac:dyDescent="0.2">
      <c r="B47" s="8">
        <f t="shared" si="12"/>
        <v>26</v>
      </c>
      <c r="C47" s="196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215"/>
      <c r="P47" s="215"/>
      <c r="Q47" s="215"/>
      <c r="R47" s="218"/>
      <c r="S47" s="218"/>
      <c r="T47" s="218"/>
      <c r="U47" s="221"/>
      <c r="V47" s="221"/>
      <c r="W47" s="221"/>
      <c r="X47" s="224"/>
      <c r="Y47" s="224"/>
      <c r="Z47" s="224"/>
      <c r="AA47" s="199"/>
      <c r="AB47" s="199"/>
      <c r="AC47" s="199"/>
      <c r="AD47" s="199"/>
      <c r="AE47" s="198"/>
      <c r="AF47" s="199"/>
      <c r="AG47" s="199"/>
      <c r="AH47" s="199"/>
      <c r="AI47" s="199"/>
      <c r="AJ47" s="199"/>
      <c r="AK47" s="200"/>
      <c r="AL47" s="200"/>
      <c r="AM47" s="200"/>
      <c r="AN47" s="200"/>
      <c r="AO47" s="200"/>
      <c r="AP47" s="197"/>
      <c r="AQ47" s="201"/>
      <c r="AR47" s="2"/>
      <c r="AS47" s="1" t="str">
        <f t="shared" si="11"/>
        <v/>
      </c>
    </row>
    <row r="48" spans="2:45" x14ac:dyDescent="0.2">
      <c r="B48" s="8">
        <f t="shared" si="12"/>
        <v>27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214"/>
      <c r="P48" s="214"/>
      <c r="Q48" s="214"/>
      <c r="R48" s="217"/>
      <c r="S48" s="217"/>
      <c r="T48" s="217"/>
      <c r="U48" s="220"/>
      <c r="V48" s="220"/>
      <c r="W48" s="220"/>
      <c r="X48" s="223"/>
      <c r="Y48" s="223"/>
      <c r="Z48" s="223"/>
      <c r="AA48" s="195"/>
      <c r="AB48" s="195"/>
      <c r="AC48" s="195"/>
      <c r="AD48" s="195"/>
      <c r="AE48" s="192"/>
      <c r="AF48" s="195"/>
      <c r="AG48" s="195"/>
      <c r="AH48" s="195"/>
      <c r="AI48" s="195"/>
      <c r="AJ48" s="195"/>
      <c r="AK48" s="179"/>
      <c r="AL48" s="179"/>
      <c r="AM48" s="179"/>
      <c r="AN48" s="179"/>
      <c r="AO48" s="179"/>
      <c r="AP48" s="30"/>
      <c r="AQ48" s="75"/>
      <c r="AR48" s="2"/>
      <c r="AS48" s="1" t="str">
        <f t="shared" si="11"/>
        <v/>
      </c>
    </row>
    <row r="49" spans="2:45" x14ac:dyDescent="0.2">
      <c r="B49" s="8">
        <f t="shared" si="12"/>
        <v>28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214"/>
      <c r="P49" s="214"/>
      <c r="Q49" s="214"/>
      <c r="R49" s="217"/>
      <c r="S49" s="217"/>
      <c r="T49" s="217"/>
      <c r="U49" s="220"/>
      <c r="V49" s="220"/>
      <c r="W49" s="220"/>
      <c r="X49" s="223"/>
      <c r="Y49" s="223"/>
      <c r="Z49" s="223"/>
      <c r="AA49" s="195"/>
      <c r="AB49" s="195"/>
      <c r="AC49" s="195"/>
      <c r="AD49" s="195"/>
      <c r="AE49" s="192"/>
      <c r="AF49" s="195"/>
      <c r="AG49" s="195"/>
      <c r="AH49" s="195"/>
      <c r="AI49" s="195"/>
      <c r="AJ49" s="195"/>
      <c r="AK49" s="179"/>
      <c r="AL49" s="179"/>
      <c r="AM49" s="179"/>
      <c r="AN49" s="179"/>
      <c r="AO49" s="179"/>
      <c r="AP49" s="30"/>
      <c r="AQ49" s="75"/>
      <c r="AR49" s="2"/>
      <c r="AS49" s="1" t="str">
        <f t="shared" si="11"/>
        <v/>
      </c>
    </row>
    <row r="50" spans="2:45" x14ac:dyDescent="0.2">
      <c r="B50" s="8">
        <f t="shared" si="12"/>
        <v>29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214"/>
      <c r="P50" s="214"/>
      <c r="Q50" s="214"/>
      <c r="R50" s="217"/>
      <c r="S50" s="217"/>
      <c r="T50" s="217"/>
      <c r="U50" s="220"/>
      <c r="V50" s="220"/>
      <c r="W50" s="220"/>
      <c r="X50" s="223"/>
      <c r="Y50" s="223"/>
      <c r="Z50" s="223"/>
      <c r="AA50" s="195"/>
      <c r="AB50" s="195"/>
      <c r="AC50" s="195"/>
      <c r="AD50" s="195"/>
      <c r="AE50" s="192"/>
      <c r="AF50" s="195"/>
      <c r="AG50" s="195"/>
      <c r="AH50" s="195"/>
      <c r="AI50" s="195"/>
      <c r="AJ50" s="195"/>
      <c r="AK50" s="179"/>
      <c r="AL50" s="179"/>
      <c r="AM50" s="179"/>
      <c r="AN50" s="179"/>
      <c r="AO50" s="179"/>
      <c r="AP50" s="30"/>
      <c r="AQ50" s="75"/>
      <c r="AR50" s="2"/>
      <c r="AS50" s="1" t="str">
        <f t="shared" si="11"/>
        <v/>
      </c>
    </row>
    <row r="51" spans="2:45" x14ac:dyDescent="0.2">
      <c r="B51" s="8">
        <f t="shared" si="12"/>
        <v>30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214"/>
      <c r="P51" s="214"/>
      <c r="Q51" s="214"/>
      <c r="R51" s="217"/>
      <c r="S51" s="217"/>
      <c r="T51" s="217"/>
      <c r="U51" s="220"/>
      <c r="V51" s="220"/>
      <c r="W51" s="220"/>
      <c r="X51" s="223"/>
      <c r="Y51" s="223"/>
      <c r="Z51" s="223"/>
      <c r="AA51" s="195"/>
      <c r="AB51" s="195"/>
      <c r="AC51" s="195"/>
      <c r="AD51" s="195"/>
      <c r="AE51" s="192"/>
      <c r="AF51" s="195"/>
      <c r="AG51" s="195"/>
      <c r="AH51" s="195"/>
      <c r="AI51" s="195"/>
      <c r="AJ51" s="195"/>
      <c r="AK51" s="179"/>
      <c r="AL51" s="179"/>
      <c r="AM51" s="179"/>
      <c r="AN51" s="179"/>
      <c r="AO51" s="179"/>
      <c r="AP51" s="30"/>
      <c r="AQ51" s="75"/>
      <c r="AR51" s="2"/>
      <c r="AS51" s="1" t="str">
        <f t="shared" si="11"/>
        <v/>
      </c>
    </row>
    <row r="52" spans="2:45" x14ac:dyDescent="0.2">
      <c r="B52" s="8">
        <f t="shared" si="12"/>
        <v>31</v>
      </c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214"/>
      <c r="P52" s="214"/>
      <c r="Q52" s="214"/>
      <c r="R52" s="217"/>
      <c r="S52" s="217"/>
      <c r="T52" s="217"/>
      <c r="U52" s="220"/>
      <c r="V52" s="220"/>
      <c r="W52" s="220"/>
      <c r="X52" s="223"/>
      <c r="Y52" s="223"/>
      <c r="Z52" s="223"/>
      <c r="AA52" s="195"/>
      <c r="AB52" s="195"/>
      <c r="AC52" s="195"/>
      <c r="AD52" s="195"/>
      <c r="AE52" s="192"/>
      <c r="AF52" s="195"/>
      <c r="AG52" s="195"/>
      <c r="AH52" s="195"/>
      <c r="AI52" s="195"/>
      <c r="AJ52" s="195"/>
      <c r="AK52" s="179"/>
      <c r="AL52" s="179"/>
      <c r="AM52" s="179"/>
      <c r="AN52" s="179"/>
      <c r="AO52" s="179"/>
      <c r="AP52" s="30"/>
      <c r="AQ52" s="75"/>
      <c r="AR52" s="2"/>
      <c r="AS52" s="1" t="str">
        <f t="shared" si="11"/>
        <v/>
      </c>
    </row>
    <row r="53" spans="2:45" x14ac:dyDescent="0.2">
      <c r="B53" s="8">
        <f t="shared" si="12"/>
        <v>32</v>
      </c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214"/>
      <c r="P53" s="214"/>
      <c r="Q53" s="214"/>
      <c r="R53" s="217"/>
      <c r="S53" s="217"/>
      <c r="T53" s="217"/>
      <c r="U53" s="220"/>
      <c r="V53" s="220"/>
      <c r="W53" s="220"/>
      <c r="X53" s="223"/>
      <c r="Y53" s="223"/>
      <c r="Z53" s="223"/>
      <c r="AA53" s="195"/>
      <c r="AB53" s="195"/>
      <c r="AC53" s="195"/>
      <c r="AD53" s="195"/>
      <c r="AE53" s="192"/>
      <c r="AF53" s="195"/>
      <c r="AG53" s="195"/>
      <c r="AH53" s="195"/>
      <c r="AI53" s="195"/>
      <c r="AJ53" s="195"/>
      <c r="AK53" s="179"/>
      <c r="AL53" s="179"/>
      <c r="AM53" s="179"/>
      <c r="AN53" s="179"/>
      <c r="AO53" s="179"/>
      <c r="AP53" s="30"/>
      <c r="AQ53" s="75"/>
      <c r="AR53" s="2"/>
      <c r="AS53" s="1" t="str">
        <f t="shared" si="11"/>
        <v/>
      </c>
    </row>
    <row r="54" spans="2:45" x14ac:dyDescent="0.2">
      <c r="B54" s="8">
        <f t="shared" si="12"/>
        <v>33</v>
      </c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214"/>
      <c r="P54" s="214"/>
      <c r="Q54" s="214"/>
      <c r="R54" s="217"/>
      <c r="S54" s="217"/>
      <c r="T54" s="217"/>
      <c r="U54" s="220"/>
      <c r="V54" s="220"/>
      <c r="W54" s="220"/>
      <c r="X54" s="223"/>
      <c r="Y54" s="223"/>
      <c r="Z54" s="223"/>
      <c r="AA54" s="195"/>
      <c r="AB54" s="195"/>
      <c r="AC54" s="195"/>
      <c r="AD54" s="195"/>
      <c r="AE54" s="192"/>
      <c r="AF54" s="195"/>
      <c r="AG54" s="195"/>
      <c r="AH54" s="195"/>
      <c r="AI54" s="195"/>
      <c r="AJ54" s="195"/>
      <c r="AK54" s="179"/>
      <c r="AL54" s="179"/>
      <c r="AM54" s="179"/>
      <c r="AN54" s="179"/>
      <c r="AO54" s="179"/>
      <c r="AP54" s="30"/>
      <c r="AQ54" s="75"/>
      <c r="AR54" s="2"/>
      <c r="AS54" s="1" t="str">
        <f t="shared" si="11"/>
        <v/>
      </c>
    </row>
    <row r="55" spans="2:45" x14ac:dyDescent="0.2">
      <c r="B55" s="8">
        <f t="shared" si="12"/>
        <v>34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214"/>
      <c r="P55" s="214"/>
      <c r="Q55" s="214"/>
      <c r="R55" s="217"/>
      <c r="S55" s="217"/>
      <c r="T55" s="217"/>
      <c r="U55" s="220"/>
      <c r="V55" s="220"/>
      <c r="W55" s="220"/>
      <c r="X55" s="223"/>
      <c r="Y55" s="223"/>
      <c r="Z55" s="223"/>
      <c r="AA55" s="195"/>
      <c r="AB55" s="195"/>
      <c r="AC55" s="195"/>
      <c r="AD55" s="195"/>
      <c r="AE55" s="192"/>
      <c r="AF55" s="195"/>
      <c r="AG55" s="195"/>
      <c r="AH55" s="195"/>
      <c r="AI55" s="195"/>
      <c r="AJ55" s="195"/>
      <c r="AK55" s="179"/>
      <c r="AL55" s="179"/>
      <c r="AM55" s="179"/>
      <c r="AN55" s="179"/>
      <c r="AO55" s="179"/>
      <c r="AP55" s="30"/>
      <c r="AQ55" s="75"/>
      <c r="AR55" s="2"/>
      <c r="AS55" s="1" t="str">
        <f t="shared" si="11"/>
        <v/>
      </c>
    </row>
    <row r="56" spans="2:45" x14ac:dyDescent="0.2">
      <c r="B56" s="8">
        <f t="shared" si="12"/>
        <v>35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214"/>
      <c r="P56" s="214"/>
      <c r="Q56" s="214"/>
      <c r="R56" s="217"/>
      <c r="S56" s="217"/>
      <c r="T56" s="217"/>
      <c r="U56" s="220"/>
      <c r="V56" s="220"/>
      <c r="W56" s="220"/>
      <c r="X56" s="223"/>
      <c r="Y56" s="223"/>
      <c r="Z56" s="223"/>
      <c r="AA56" s="195"/>
      <c r="AB56" s="195"/>
      <c r="AC56" s="195"/>
      <c r="AD56" s="195"/>
      <c r="AE56" s="192"/>
      <c r="AF56" s="195"/>
      <c r="AG56" s="195"/>
      <c r="AH56" s="195"/>
      <c r="AI56" s="195"/>
      <c r="AJ56" s="195"/>
      <c r="AK56" s="179"/>
      <c r="AL56" s="179"/>
      <c r="AM56" s="179"/>
      <c r="AN56" s="179"/>
      <c r="AO56" s="179"/>
      <c r="AP56" s="30"/>
      <c r="AQ56" s="75"/>
      <c r="AR56" s="2"/>
      <c r="AS56" s="1" t="str">
        <f t="shared" si="11"/>
        <v/>
      </c>
    </row>
    <row r="57" spans="2:45" x14ac:dyDescent="0.2">
      <c r="B57" s="8">
        <f t="shared" si="12"/>
        <v>36</v>
      </c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214"/>
      <c r="P57" s="214"/>
      <c r="Q57" s="214"/>
      <c r="R57" s="217"/>
      <c r="S57" s="217"/>
      <c r="T57" s="217"/>
      <c r="U57" s="220"/>
      <c r="V57" s="220"/>
      <c r="W57" s="220"/>
      <c r="X57" s="223"/>
      <c r="Y57" s="223"/>
      <c r="Z57" s="223"/>
      <c r="AA57" s="195"/>
      <c r="AB57" s="195"/>
      <c r="AC57" s="195"/>
      <c r="AD57" s="195"/>
      <c r="AE57" s="192"/>
      <c r="AF57" s="195"/>
      <c r="AG57" s="195"/>
      <c r="AH57" s="195"/>
      <c r="AI57" s="195"/>
      <c r="AJ57" s="195"/>
      <c r="AK57" s="179"/>
      <c r="AL57" s="179"/>
      <c r="AM57" s="179"/>
      <c r="AN57" s="179"/>
      <c r="AO57" s="179"/>
      <c r="AP57" s="30"/>
      <c r="AQ57" s="75"/>
      <c r="AR57" s="2"/>
      <c r="AS57" s="1" t="str">
        <f t="shared" si="11"/>
        <v/>
      </c>
    </row>
    <row r="58" spans="2:45" x14ac:dyDescent="0.2">
      <c r="B58" s="8">
        <f t="shared" si="12"/>
        <v>37</v>
      </c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214"/>
      <c r="P58" s="214"/>
      <c r="Q58" s="214"/>
      <c r="R58" s="217"/>
      <c r="S58" s="217"/>
      <c r="T58" s="217"/>
      <c r="U58" s="220"/>
      <c r="V58" s="220"/>
      <c r="W58" s="220"/>
      <c r="X58" s="223"/>
      <c r="Y58" s="223"/>
      <c r="Z58" s="223"/>
      <c r="AA58" s="195"/>
      <c r="AB58" s="195"/>
      <c r="AC58" s="195"/>
      <c r="AD58" s="195"/>
      <c r="AE58" s="192"/>
      <c r="AF58" s="195"/>
      <c r="AG58" s="195"/>
      <c r="AH58" s="195"/>
      <c r="AI58" s="195"/>
      <c r="AJ58" s="195"/>
      <c r="AK58" s="179"/>
      <c r="AL58" s="179"/>
      <c r="AM58" s="179"/>
      <c r="AN58" s="179"/>
      <c r="AO58" s="179"/>
      <c r="AP58" s="30"/>
      <c r="AQ58" s="75"/>
      <c r="AR58" s="2"/>
      <c r="AS58" s="1" t="str">
        <f t="shared" si="11"/>
        <v/>
      </c>
    </row>
    <row r="59" spans="2:45" x14ac:dyDescent="0.2">
      <c r="B59" s="8">
        <f t="shared" si="12"/>
        <v>38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214"/>
      <c r="P59" s="214"/>
      <c r="Q59" s="214"/>
      <c r="R59" s="217"/>
      <c r="S59" s="217"/>
      <c r="T59" s="217"/>
      <c r="U59" s="220"/>
      <c r="V59" s="220"/>
      <c r="W59" s="220"/>
      <c r="X59" s="223"/>
      <c r="Y59" s="223"/>
      <c r="Z59" s="223"/>
      <c r="AA59" s="195"/>
      <c r="AB59" s="195"/>
      <c r="AC59" s="195"/>
      <c r="AD59" s="195"/>
      <c r="AE59" s="192"/>
      <c r="AF59" s="195"/>
      <c r="AG59" s="195"/>
      <c r="AH59" s="195"/>
      <c r="AI59" s="195"/>
      <c r="AJ59" s="195"/>
      <c r="AK59" s="179"/>
      <c r="AL59" s="179"/>
      <c r="AM59" s="179"/>
      <c r="AN59" s="179"/>
      <c r="AO59" s="179"/>
      <c r="AP59" s="30"/>
      <c r="AQ59" s="75"/>
      <c r="AR59" s="2"/>
      <c r="AS59" s="1" t="str">
        <f t="shared" si="11"/>
        <v/>
      </c>
    </row>
    <row r="60" spans="2:45" x14ac:dyDescent="0.2">
      <c r="B60" s="8">
        <f t="shared" si="12"/>
        <v>39</v>
      </c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214"/>
      <c r="P60" s="214"/>
      <c r="Q60" s="214"/>
      <c r="R60" s="217"/>
      <c r="S60" s="217"/>
      <c r="T60" s="217"/>
      <c r="U60" s="220"/>
      <c r="V60" s="220"/>
      <c r="W60" s="220"/>
      <c r="X60" s="223"/>
      <c r="Y60" s="223"/>
      <c r="Z60" s="223"/>
      <c r="AA60" s="195"/>
      <c r="AB60" s="195"/>
      <c r="AC60" s="195"/>
      <c r="AD60" s="195"/>
      <c r="AE60" s="192"/>
      <c r="AF60" s="195"/>
      <c r="AG60" s="195"/>
      <c r="AH60" s="195"/>
      <c r="AI60" s="195"/>
      <c r="AJ60" s="195"/>
      <c r="AK60" s="179"/>
      <c r="AL60" s="179"/>
      <c r="AM60" s="179"/>
      <c r="AN60" s="179"/>
      <c r="AO60" s="179"/>
      <c r="AP60" s="30"/>
      <c r="AQ60" s="75"/>
      <c r="AR60" s="2"/>
      <c r="AS60" s="1" t="str">
        <f t="shared" si="11"/>
        <v/>
      </c>
    </row>
    <row r="61" spans="2:45" x14ac:dyDescent="0.2">
      <c r="B61" s="8">
        <f t="shared" si="12"/>
        <v>40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214"/>
      <c r="P61" s="214"/>
      <c r="Q61" s="214"/>
      <c r="R61" s="217"/>
      <c r="S61" s="217"/>
      <c r="T61" s="217"/>
      <c r="U61" s="220"/>
      <c r="V61" s="220"/>
      <c r="W61" s="220"/>
      <c r="X61" s="223"/>
      <c r="Y61" s="223"/>
      <c r="Z61" s="223"/>
      <c r="AA61" s="195"/>
      <c r="AB61" s="195"/>
      <c r="AC61" s="195"/>
      <c r="AD61" s="195"/>
      <c r="AE61" s="192"/>
      <c r="AF61" s="195"/>
      <c r="AG61" s="195"/>
      <c r="AH61" s="195"/>
      <c r="AI61" s="195"/>
      <c r="AJ61" s="195"/>
      <c r="AK61" s="179"/>
      <c r="AL61" s="179"/>
      <c r="AM61" s="179"/>
      <c r="AN61" s="179"/>
      <c r="AO61" s="179"/>
      <c r="AP61" s="30"/>
      <c r="AQ61" s="75"/>
      <c r="AR61" s="2"/>
      <c r="AS61" s="1" t="str">
        <f t="shared" si="11"/>
        <v/>
      </c>
    </row>
    <row r="62" spans="2:45" x14ac:dyDescent="0.2">
      <c r="B62" s="8">
        <f t="shared" si="12"/>
        <v>41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214"/>
      <c r="P62" s="214"/>
      <c r="Q62" s="214"/>
      <c r="R62" s="217"/>
      <c r="S62" s="217"/>
      <c r="T62" s="217"/>
      <c r="U62" s="220"/>
      <c r="V62" s="220"/>
      <c r="W62" s="220"/>
      <c r="X62" s="223"/>
      <c r="Y62" s="223"/>
      <c r="Z62" s="223"/>
      <c r="AA62" s="195"/>
      <c r="AB62" s="195"/>
      <c r="AC62" s="195"/>
      <c r="AD62" s="195"/>
      <c r="AE62" s="192"/>
      <c r="AF62" s="195"/>
      <c r="AG62" s="195"/>
      <c r="AH62" s="195"/>
      <c r="AI62" s="195"/>
      <c r="AJ62" s="195"/>
      <c r="AK62" s="179"/>
      <c r="AL62" s="179"/>
      <c r="AM62" s="179"/>
      <c r="AN62" s="179"/>
      <c r="AO62" s="179"/>
      <c r="AP62" s="30"/>
      <c r="AQ62" s="75"/>
      <c r="AR62" s="2"/>
      <c r="AS62" s="1" t="str">
        <f t="shared" si="11"/>
        <v/>
      </c>
    </row>
    <row r="63" spans="2:45" x14ac:dyDescent="0.2">
      <c r="B63" s="8">
        <f t="shared" si="12"/>
        <v>42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214"/>
      <c r="P63" s="214"/>
      <c r="Q63" s="214"/>
      <c r="R63" s="217"/>
      <c r="S63" s="217"/>
      <c r="T63" s="217"/>
      <c r="U63" s="220"/>
      <c r="V63" s="220"/>
      <c r="W63" s="220"/>
      <c r="X63" s="223"/>
      <c r="Y63" s="223"/>
      <c r="Z63" s="223"/>
      <c r="AA63" s="195"/>
      <c r="AB63" s="195"/>
      <c r="AC63" s="195"/>
      <c r="AD63" s="195"/>
      <c r="AE63" s="192"/>
      <c r="AF63" s="195"/>
      <c r="AG63" s="195"/>
      <c r="AH63" s="195"/>
      <c r="AI63" s="195"/>
      <c r="AJ63" s="195"/>
      <c r="AK63" s="179"/>
      <c r="AL63" s="179"/>
      <c r="AM63" s="179"/>
      <c r="AN63" s="179"/>
      <c r="AO63" s="179"/>
      <c r="AP63" s="30"/>
      <c r="AQ63" s="75"/>
      <c r="AR63" s="2"/>
      <c r="AS63" s="1" t="str">
        <f t="shared" si="11"/>
        <v/>
      </c>
    </row>
    <row r="64" spans="2:45" x14ac:dyDescent="0.2">
      <c r="B64" s="8">
        <f t="shared" si="12"/>
        <v>43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214"/>
      <c r="P64" s="214"/>
      <c r="Q64" s="214"/>
      <c r="R64" s="217"/>
      <c r="S64" s="217"/>
      <c r="T64" s="217"/>
      <c r="U64" s="220"/>
      <c r="V64" s="220"/>
      <c r="W64" s="220"/>
      <c r="X64" s="223"/>
      <c r="Y64" s="223"/>
      <c r="Z64" s="223"/>
      <c r="AA64" s="195"/>
      <c r="AB64" s="195"/>
      <c r="AC64" s="195"/>
      <c r="AD64" s="195"/>
      <c r="AE64" s="192"/>
      <c r="AF64" s="195"/>
      <c r="AG64" s="195"/>
      <c r="AH64" s="195"/>
      <c r="AI64" s="195"/>
      <c r="AJ64" s="195"/>
      <c r="AK64" s="179"/>
      <c r="AL64" s="179"/>
      <c r="AM64" s="179"/>
      <c r="AN64" s="179"/>
      <c r="AO64" s="179"/>
      <c r="AP64" s="30"/>
      <c r="AQ64" s="75"/>
      <c r="AR64" s="2"/>
      <c r="AS64" s="1" t="str">
        <f t="shared" si="11"/>
        <v/>
      </c>
    </row>
    <row r="65" spans="2:45" x14ac:dyDescent="0.2">
      <c r="B65" s="8">
        <f t="shared" si="12"/>
        <v>44</v>
      </c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214"/>
      <c r="P65" s="214"/>
      <c r="Q65" s="214"/>
      <c r="R65" s="217"/>
      <c r="S65" s="217"/>
      <c r="T65" s="217"/>
      <c r="U65" s="220"/>
      <c r="V65" s="220"/>
      <c r="W65" s="220"/>
      <c r="X65" s="223"/>
      <c r="Y65" s="223"/>
      <c r="Z65" s="223"/>
      <c r="AA65" s="195"/>
      <c r="AB65" s="195"/>
      <c r="AC65" s="195"/>
      <c r="AD65" s="195"/>
      <c r="AE65" s="192"/>
      <c r="AF65" s="195"/>
      <c r="AG65" s="195"/>
      <c r="AH65" s="195"/>
      <c r="AI65" s="195"/>
      <c r="AJ65" s="195"/>
      <c r="AK65" s="179"/>
      <c r="AL65" s="179"/>
      <c r="AM65" s="179"/>
      <c r="AN65" s="179"/>
      <c r="AO65" s="179"/>
      <c r="AP65" s="30"/>
      <c r="AQ65" s="75"/>
      <c r="AR65" s="2"/>
      <c r="AS65" s="1" t="str">
        <f t="shared" si="11"/>
        <v/>
      </c>
    </row>
    <row r="66" spans="2:45" x14ac:dyDescent="0.2">
      <c r="B66" s="8">
        <f t="shared" si="12"/>
        <v>45</v>
      </c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214"/>
      <c r="P66" s="214"/>
      <c r="Q66" s="214"/>
      <c r="R66" s="217"/>
      <c r="S66" s="217"/>
      <c r="T66" s="217"/>
      <c r="U66" s="220"/>
      <c r="V66" s="220"/>
      <c r="W66" s="220"/>
      <c r="X66" s="223"/>
      <c r="Y66" s="223"/>
      <c r="Z66" s="223"/>
      <c r="AA66" s="195"/>
      <c r="AB66" s="195"/>
      <c r="AC66" s="195"/>
      <c r="AD66" s="195"/>
      <c r="AE66" s="192"/>
      <c r="AF66" s="195"/>
      <c r="AG66" s="195"/>
      <c r="AH66" s="195"/>
      <c r="AI66" s="195"/>
      <c r="AJ66" s="195"/>
      <c r="AK66" s="179"/>
      <c r="AL66" s="179"/>
      <c r="AM66" s="179"/>
      <c r="AN66" s="179"/>
      <c r="AO66" s="179"/>
      <c r="AP66" s="30"/>
      <c r="AQ66" s="75"/>
      <c r="AR66" s="2"/>
      <c r="AS66" s="1" t="str">
        <f t="shared" si="11"/>
        <v/>
      </c>
    </row>
    <row r="67" spans="2:45" x14ac:dyDescent="0.2">
      <c r="B67" s="8">
        <f t="shared" si="12"/>
        <v>46</v>
      </c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214"/>
      <c r="P67" s="214"/>
      <c r="Q67" s="214"/>
      <c r="R67" s="217"/>
      <c r="S67" s="217"/>
      <c r="T67" s="217"/>
      <c r="U67" s="220"/>
      <c r="V67" s="220"/>
      <c r="W67" s="220"/>
      <c r="X67" s="223"/>
      <c r="Y67" s="223"/>
      <c r="Z67" s="223"/>
      <c r="AA67" s="195"/>
      <c r="AB67" s="195"/>
      <c r="AC67" s="195"/>
      <c r="AD67" s="195"/>
      <c r="AE67" s="192"/>
      <c r="AF67" s="195"/>
      <c r="AG67" s="195"/>
      <c r="AH67" s="195"/>
      <c r="AI67" s="195"/>
      <c r="AJ67" s="195"/>
      <c r="AK67" s="179"/>
      <c r="AL67" s="179"/>
      <c r="AM67" s="179"/>
      <c r="AN67" s="179"/>
      <c r="AO67" s="179"/>
      <c r="AP67" s="30"/>
      <c r="AQ67" s="75"/>
      <c r="AR67" s="2"/>
      <c r="AS67" s="1" t="str">
        <f t="shared" si="11"/>
        <v/>
      </c>
    </row>
    <row r="68" spans="2:45" x14ac:dyDescent="0.2">
      <c r="B68" s="8">
        <f t="shared" si="12"/>
        <v>47</v>
      </c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214"/>
      <c r="P68" s="214"/>
      <c r="Q68" s="214"/>
      <c r="R68" s="217"/>
      <c r="S68" s="217"/>
      <c r="T68" s="217"/>
      <c r="U68" s="220"/>
      <c r="V68" s="220"/>
      <c r="W68" s="220"/>
      <c r="X68" s="223"/>
      <c r="Y68" s="223"/>
      <c r="Z68" s="223"/>
      <c r="AA68" s="195"/>
      <c r="AB68" s="195"/>
      <c r="AC68" s="195"/>
      <c r="AD68" s="195"/>
      <c r="AE68" s="192"/>
      <c r="AF68" s="195"/>
      <c r="AG68" s="195"/>
      <c r="AH68" s="195"/>
      <c r="AI68" s="195"/>
      <c r="AJ68" s="195"/>
      <c r="AK68" s="179"/>
      <c r="AL68" s="179"/>
      <c r="AM68" s="179"/>
      <c r="AN68" s="179"/>
      <c r="AO68" s="179"/>
      <c r="AP68" s="30"/>
      <c r="AQ68" s="75"/>
      <c r="AR68" s="2"/>
      <c r="AS68" s="1" t="str">
        <f t="shared" si="11"/>
        <v/>
      </c>
    </row>
    <row r="69" spans="2:45" x14ac:dyDescent="0.2">
      <c r="B69" s="8">
        <f t="shared" si="12"/>
        <v>48</v>
      </c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214"/>
      <c r="P69" s="214"/>
      <c r="Q69" s="214"/>
      <c r="R69" s="217"/>
      <c r="S69" s="217"/>
      <c r="T69" s="217"/>
      <c r="U69" s="220"/>
      <c r="V69" s="220"/>
      <c r="W69" s="220"/>
      <c r="X69" s="223"/>
      <c r="Y69" s="223"/>
      <c r="Z69" s="223"/>
      <c r="AA69" s="195"/>
      <c r="AB69" s="195"/>
      <c r="AC69" s="195"/>
      <c r="AD69" s="195"/>
      <c r="AE69" s="192"/>
      <c r="AF69" s="195"/>
      <c r="AG69" s="195"/>
      <c r="AH69" s="195"/>
      <c r="AI69" s="195"/>
      <c r="AJ69" s="195"/>
      <c r="AK69" s="179"/>
      <c r="AL69" s="179"/>
      <c r="AM69" s="179"/>
      <c r="AN69" s="179"/>
      <c r="AO69" s="179"/>
      <c r="AP69" s="30"/>
      <c r="AQ69" s="75"/>
      <c r="AR69" s="2"/>
      <c r="AS69" s="1" t="str">
        <f t="shared" si="11"/>
        <v/>
      </c>
    </row>
    <row r="70" spans="2:45" x14ac:dyDescent="0.2">
      <c r="B70" s="8">
        <f t="shared" si="12"/>
        <v>49</v>
      </c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214"/>
      <c r="P70" s="214"/>
      <c r="Q70" s="214"/>
      <c r="R70" s="217"/>
      <c r="S70" s="217"/>
      <c r="T70" s="217"/>
      <c r="U70" s="220"/>
      <c r="V70" s="220"/>
      <c r="W70" s="220"/>
      <c r="X70" s="223"/>
      <c r="Y70" s="223"/>
      <c r="Z70" s="223"/>
      <c r="AA70" s="195"/>
      <c r="AB70" s="195"/>
      <c r="AC70" s="195"/>
      <c r="AD70" s="195"/>
      <c r="AE70" s="192"/>
      <c r="AF70" s="195"/>
      <c r="AG70" s="195"/>
      <c r="AH70" s="195"/>
      <c r="AI70" s="195"/>
      <c r="AJ70" s="195"/>
      <c r="AK70" s="179"/>
      <c r="AL70" s="179"/>
      <c r="AM70" s="179"/>
      <c r="AN70" s="179"/>
      <c r="AO70" s="179"/>
      <c r="AP70" s="30"/>
      <c r="AQ70" s="75"/>
      <c r="AR70" s="2"/>
      <c r="AS70" s="1" t="str">
        <f t="shared" si="11"/>
        <v/>
      </c>
    </row>
    <row r="71" spans="2:45" x14ac:dyDescent="0.2">
      <c r="B71" s="8">
        <f t="shared" si="12"/>
        <v>50</v>
      </c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214"/>
      <c r="P71" s="214"/>
      <c r="Q71" s="214"/>
      <c r="R71" s="217"/>
      <c r="S71" s="217"/>
      <c r="T71" s="217"/>
      <c r="U71" s="220"/>
      <c r="V71" s="220"/>
      <c r="W71" s="220"/>
      <c r="X71" s="223"/>
      <c r="Y71" s="223"/>
      <c r="Z71" s="223"/>
      <c r="AA71" s="195"/>
      <c r="AB71" s="195"/>
      <c r="AC71" s="195"/>
      <c r="AD71" s="195"/>
      <c r="AE71" s="192"/>
      <c r="AF71" s="195"/>
      <c r="AG71" s="195"/>
      <c r="AH71" s="195"/>
      <c r="AI71" s="195"/>
      <c r="AJ71" s="195"/>
      <c r="AK71" s="179"/>
      <c r="AL71" s="179"/>
      <c r="AM71" s="179"/>
      <c r="AN71" s="179"/>
      <c r="AO71" s="179"/>
      <c r="AP71" s="30"/>
      <c r="AQ71" s="75"/>
      <c r="AR71" s="2"/>
      <c r="AS71" s="1" t="str">
        <f t="shared" si="11"/>
        <v/>
      </c>
    </row>
    <row r="72" spans="2:45" x14ac:dyDescent="0.2">
      <c r="B72" s="8">
        <f t="shared" si="12"/>
        <v>51</v>
      </c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214"/>
      <c r="P72" s="214"/>
      <c r="Q72" s="214"/>
      <c r="R72" s="217"/>
      <c r="S72" s="217"/>
      <c r="T72" s="217"/>
      <c r="U72" s="220"/>
      <c r="V72" s="220"/>
      <c r="W72" s="220"/>
      <c r="X72" s="223"/>
      <c r="Y72" s="223"/>
      <c r="Z72" s="223"/>
      <c r="AA72" s="195"/>
      <c r="AB72" s="195"/>
      <c r="AC72" s="195"/>
      <c r="AD72" s="195"/>
      <c r="AE72" s="192"/>
      <c r="AF72" s="195"/>
      <c r="AG72" s="195"/>
      <c r="AH72" s="195"/>
      <c r="AI72" s="195"/>
      <c r="AJ72" s="195"/>
      <c r="AK72" s="179"/>
      <c r="AL72" s="179"/>
      <c r="AM72" s="179"/>
      <c r="AN72" s="179"/>
      <c r="AO72" s="179"/>
      <c r="AP72" s="30"/>
      <c r="AQ72" s="75"/>
      <c r="AR72" s="2"/>
      <c r="AS72" s="1" t="str">
        <f t="shared" si="11"/>
        <v/>
      </c>
    </row>
    <row r="73" spans="2:45" x14ac:dyDescent="0.2">
      <c r="B73" s="8">
        <f t="shared" si="12"/>
        <v>52</v>
      </c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214"/>
      <c r="P73" s="214"/>
      <c r="Q73" s="214"/>
      <c r="R73" s="217"/>
      <c r="S73" s="217"/>
      <c r="T73" s="217"/>
      <c r="U73" s="220"/>
      <c r="V73" s="220"/>
      <c r="W73" s="220"/>
      <c r="X73" s="223"/>
      <c r="Y73" s="223"/>
      <c r="Z73" s="223"/>
      <c r="AA73" s="195"/>
      <c r="AB73" s="195"/>
      <c r="AC73" s="195"/>
      <c r="AD73" s="195"/>
      <c r="AE73" s="192"/>
      <c r="AF73" s="195"/>
      <c r="AG73" s="195"/>
      <c r="AH73" s="195"/>
      <c r="AI73" s="195"/>
      <c r="AJ73" s="195"/>
      <c r="AK73" s="179"/>
      <c r="AL73" s="179"/>
      <c r="AM73" s="179"/>
      <c r="AN73" s="179"/>
      <c r="AO73" s="179"/>
      <c r="AP73" s="30"/>
      <c r="AQ73" s="75"/>
      <c r="AR73" s="2"/>
      <c r="AS73" s="1" t="str">
        <f t="shared" si="11"/>
        <v/>
      </c>
    </row>
    <row r="74" spans="2:45" x14ac:dyDescent="0.2">
      <c r="B74" s="8">
        <f t="shared" si="12"/>
        <v>53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214"/>
      <c r="P74" s="214"/>
      <c r="Q74" s="214"/>
      <c r="R74" s="217"/>
      <c r="S74" s="217"/>
      <c r="T74" s="217"/>
      <c r="U74" s="220"/>
      <c r="V74" s="220"/>
      <c r="W74" s="220"/>
      <c r="X74" s="223"/>
      <c r="Y74" s="223"/>
      <c r="Z74" s="223"/>
      <c r="AA74" s="195"/>
      <c r="AB74" s="195"/>
      <c r="AC74" s="195"/>
      <c r="AD74" s="195"/>
      <c r="AE74" s="192"/>
      <c r="AF74" s="195"/>
      <c r="AG74" s="195"/>
      <c r="AH74" s="195"/>
      <c r="AI74" s="195"/>
      <c r="AJ74" s="195"/>
      <c r="AK74" s="179"/>
      <c r="AL74" s="179"/>
      <c r="AM74" s="179"/>
      <c r="AN74" s="179"/>
      <c r="AO74" s="179"/>
      <c r="AP74" s="30"/>
      <c r="AQ74" s="75"/>
      <c r="AR74" s="2"/>
      <c r="AS74" s="1" t="str">
        <f t="shared" si="11"/>
        <v/>
      </c>
    </row>
    <row r="75" spans="2:45" x14ac:dyDescent="0.2">
      <c r="B75" s="8">
        <f t="shared" si="12"/>
        <v>54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214"/>
      <c r="P75" s="214"/>
      <c r="Q75" s="214"/>
      <c r="R75" s="217"/>
      <c r="S75" s="217"/>
      <c r="T75" s="217"/>
      <c r="U75" s="220"/>
      <c r="V75" s="220"/>
      <c r="W75" s="220"/>
      <c r="X75" s="223"/>
      <c r="Y75" s="223"/>
      <c r="Z75" s="223"/>
      <c r="AA75" s="195"/>
      <c r="AB75" s="195"/>
      <c r="AC75" s="195"/>
      <c r="AD75" s="195"/>
      <c r="AE75" s="192"/>
      <c r="AF75" s="195"/>
      <c r="AG75" s="195"/>
      <c r="AH75" s="195"/>
      <c r="AI75" s="195"/>
      <c r="AJ75" s="195"/>
      <c r="AK75" s="179"/>
      <c r="AL75" s="179"/>
      <c r="AM75" s="179"/>
      <c r="AN75" s="179"/>
      <c r="AO75" s="179"/>
      <c r="AP75" s="30"/>
      <c r="AQ75" s="75"/>
      <c r="AR75" s="2"/>
      <c r="AS75" s="1" t="str">
        <f t="shared" si="11"/>
        <v/>
      </c>
    </row>
    <row r="76" spans="2:45" x14ac:dyDescent="0.2">
      <c r="B76" s="8">
        <f t="shared" si="12"/>
        <v>55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214"/>
      <c r="P76" s="214"/>
      <c r="Q76" s="214"/>
      <c r="R76" s="217"/>
      <c r="S76" s="217"/>
      <c r="T76" s="217"/>
      <c r="U76" s="220"/>
      <c r="V76" s="220"/>
      <c r="W76" s="220"/>
      <c r="X76" s="223"/>
      <c r="Y76" s="223"/>
      <c r="Z76" s="223"/>
      <c r="AA76" s="195"/>
      <c r="AB76" s="195"/>
      <c r="AC76" s="195"/>
      <c r="AD76" s="195"/>
      <c r="AE76" s="192"/>
      <c r="AF76" s="195"/>
      <c r="AG76" s="195"/>
      <c r="AH76" s="195"/>
      <c r="AI76" s="195"/>
      <c r="AJ76" s="195"/>
      <c r="AK76" s="179"/>
      <c r="AL76" s="179"/>
      <c r="AM76" s="179"/>
      <c r="AN76" s="179"/>
      <c r="AO76" s="179"/>
      <c r="AP76" s="30"/>
      <c r="AQ76" s="75"/>
      <c r="AR76" s="2"/>
      <c r="AS76" s="1" t="str">
        <f t="shared" si="11"/>
        <v/>
      </c>
    </row>
    <row r="77" spans="2:45" x14ac:dyDescent="0.2">
      <c r="B77" s="8">
        <f t="shared" si="12"/>
        <v>56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214"/>
      <c r="P77" s="214"/>
      <c r="Q77" s="214"/>
      <c r="R77" s="217"/>
      <c r="S77" s="217"/>
      <c r="T77" s="217"/>
      <c r="U77" s="220"/>
      <c r="V77" s="220"/>
      <c r="W77" s="220"/>
      <c r="X77" s="223"/>
      <c r="Y77" s="223"/>
      <c r="Z77" s="223"/>
      <c r="AA77" s="195"/>
      <c r="AB77" s="195"/>
      <c r="AC77" s="195"/>
      <c r="AD77" s="195"/>
      <c r="AE77" s="192"/>
      <c r="AF77" s="195"/>
      <c r="AG77" s="195"/>
      <c r="AH77" s="195"/>
      <c r="AI77" s="195"/>
      <c r="AJ77" s="195"/>
      <c r="AK77" s="179"/>
      <c r="AL77" s="179"/>
      <c r="AM77" s="179"/>
      <c r="AN77" s="179"/>
      <c r="AO77" s="179"/>
      <c r="AP77" s="30"/>
      <c r="AQ77" s="75"/>
      <c r="AR77" s="2"/>
      <c r="AS77" s="1" t="str">
        <f t="shared" si="11"/>
        <v/>
      </c>
    </row>
    <row r="78" spans="2:45" x14ac:dyDescent="0.2">
      <c r="B78" s="8">
        <f t="shared" si="12"/>
        <v>57</v>
      </c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214"/>
      <c r="P78" s="214"/>
      <c r="Q78" s="214"/>
      <c r="R78" s="217"/>
      <c r="S78" s="217"/>
      <c r="T78" s="217"/>
      <c r="U78" s="220"/>
      <c r="V78" s="220"/>
      <c r="W78" s="220"/>
      <c r="X78" s="223"/>
      <c r="Y78" s="223"/>
      <c r="Z78" s="223"/>
      <c r="AA78" s="195"/>
      <c r="AB78" s="195"/>
      <c r="AC78" s="195"/>
      <c r="AD78" s="195"/>
      <c r="AE78" s="192"/>
      <c r="AF78" s="195"/>
      <c r="AG78" s="195"/>
      <c r="AH78" s="195"/>
      <c r="AI78" s="195"/>
      <c r="AJ78" s="195"/>
      <c r="AK78" s="179"/>
      <c r="AL78" s="179"/>
      <c r="AM78" s="179"/>
      <c r="AN78" s="179"/>
      <c r="AO78" s="179"/>
      <c r="AP78" s="30"/>
      <c r="AQ78" s="75"/>
      <c r="AR78" s="2"/>
      <c r="AS78" s="1" t="str">
        <f t="shared" si="11"/>
        <v/>
      </c>
    </row>
    <row r="79" spans="2:45" x14ac:dyDescent="0.2">
      <c r="B79" s="8">
        <f t="shared" si="12"/>
        <v>58</v>
      </c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214"/>
      <c r="P79" s="214"/>
      <c r="Q79" s="214"/>
      <c r="R79" s="217"/>
      <c r="S79" s="217"/>
      <c r="T79" s="217"/>
      <c r="U79" s="220"/>
      <c r="V79" s="220"/>
      <c r="W79" s="220"/>
      <c r="X79" s="223"/>
      <c r="Y79" s="223"/>
      <c r="Z79" s="223"/>
      <c r="AA79" s="195"/>
      <c r="AB79" s="195"/>
      <c r="AC79" s="195"/>
      <c r="AD79" s="195"/>
      <c r="AE79" s="192"/>
      <c r="AF79" s="195"/>
      <c r="AG79" s="195"/>
      <c r="AH79" s="195"/>
      <c r="AI79" s="195"/>
      <c r="AJ79" s="195"/>
      <c r="AK79" s="179"/>
      <c r="AL79" s="179"/>
      <c r="AM79" s="179"/>
      <c r="AN79" s="179"/>
      <c r="AO79" s="179"/>
      <c r="AP79" s="30"/>
      <c r="AQ79" s="75"/>
      <c r="AR79" s="2"/>
      <c r="AS79" s="1" t="str">
        <f t="shared" si="11"/>
        <v/>
      </c>
    </row>
    <row r="80" spans="2:45" x14ac:dyDescent="0.2">
      <c r="B80" s="8">
        <f t="shared" si="12"/>
        <v>59</v>
      </c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214"/>
      <c r="P80" s="214"/>
      <c r="Q80" s="214"/>
      <c r="R80" s="217"/>
      <c r="S80" s="217"/>
      <c r="T80" s="217"/>
      <c r="U80" s="220"/>
      <c r="V80" s="220"/>
      <c r="W80" s="220"/>
      <c r="X80" s="223"/>
      <c r="Y80" s="223"/>
      <c r="Z80" s="223"/>
      <c r="AA80" s="195"/>
      <c r="AB80" s="195"/>
      <c r="AC80" s="195"/>
      <c r="AD80" s="195"/>
      <c r="AE80" s="192"/>
      <c r="AF80" s="195"/>
      <c r="AG80" s="195"/>
      <c r="AH80" s="195"/>
      <c r="AI80" s="195"/>
      <c r="AJ80" s="195"/>
      <c r="AK80" s="179"/>
      <c r="AL80" s="179"/>
      <c r="AM80" s="179"/>
      <c r="AN80" s="179"/>
      <c r="AO80" s="179"/>
      <c r="AP80" s="30"/>
      <c r="AQ80" s="75"/>
      <c r="AR80" s="2"/>
      <c r="AS80" s="1" t="str">
        <f t="shared" si="11"/>
        <v/>
      </c>
    </row>
    <row r="81" spans="2:45" x14ac:dyDescent="0.2">
      <c r="B81" s="8">
        <f t="shared" si="12"/>
        <v>60</v>
      </c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214"/>
      <c r="P81" s="214"/>
      <c r="Q81" s="214"/>
      <c r="R81" s="217"/>
      <c r="S81" s="217"/>
      <c r="T81" s="217"/>
      <c r="U81" s="220"/>
      <c r="V81" s="220"/>
      <c r="W81" s="220"/>
      <c r="X81" s="223"/>
      <c r="Y81" s="223"/>
      <c r="Z81" s="223"/>
      <c r="AA81" s="195"/>
      <c r="AB81" s="195"/>
      <c r="AC81" s="195"/>
      <c r="AD81" s="195"/>
      <c r="AE81" s="192"/>
      <c r="AF81" s="195"/>
      <c r="AG81" s="195"/>
      <c r="AH81" s="195"/>
      <c r="AI81" s="195"/>
      <c r="AJ81" s="195"/>
      <c r="AK81" s="179"/>
      <c r="AL81" s="179"/>
      <c r="AM81" s="179"/>
      <c r="AN81" s="179"/>
      <c r="AO81" s="179"/>
      <c r="AP81" s="30"/>
      <c r="AQ81" s="75"/>
      <c r="AR81" s="2"/>
      <c r="AS81" s="1" t="str">
        <f t="shared" si="11"/>
        <v/>
      </c>
    </row>
    <row r="82" spans="2:45" x14ac:dyDescent="0.2">
      <c r="B82" s="8">
        <f t="shared" si="12"/>
        <v>61</v>
      </c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214"/>
      <c r="P82" s="214"/>
      <c r="Q82" s="214"/>
      <c r="R82" s="217"/>
      <c r="S82" s="217"/>
      <c r="T82" s="217"/>
      <c r="U82" s="220"/>
      <c r="V82" s="220"/>
      <c r="W82" s="220"/>
      <c r="X82" s="223"/>
      <c r="Y82" s="223"/>
      <c r="Z82" s="223"/>
      <c r="AA82" s="195"/>
      <c r="AB82" s="195"/>
      <c r="AC82" s="195"/>
      <c r="AD82" s="195"/>
      <c r="AE82" s="192"/>
      <c r="AF82" s="195"/>
      <c r="AG82" s="195"/>
      <c r="AH82" s="195"/>
      <c r="AI82" s="195"/>
      <c r="AJ82" s="195"/>
      <c r="AK82" s="179"/>
      <c r="AL82" s="179"/>
      <c r="AM82" s="179"/>
      <c r="AN82" s="179"/>
      <c r="AO82" s="179"/>
      <c r="AP82" s="30"/>
      <c r="AQ82" s="75"/>
      <c r="AR82" s="2"/>
      <c r="AS82" s="1" t="str">
        <f t="shared" si="11"/>
        <v/>
      </c>
    </row>
    <row r="83" spans="2:45" x14ac:dyDescent="0.2">
      <c r="B83" s="8">
        <f t="shared" si="12"/>
        <v>62</v>
      </c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214"/>
      <c r="P83" s="214"/>
      <c r="Q83" s="214"/>
      <c r="R83" s="217"/>
      <c r="S83" s="217"/>
      <c r="T83" s="217"/>
      <c r="U83" s="220"/>
      <c r="V83" s="220"/>
      <c r="W83" s="220"/>
      <c r="X83" s="223"/>
      <c r="Y83" s="223"/>
      <c r="Z83" s="223"/>
      <c r="AA83" s="195"/>
      <c r="AB83" s="195"/>
      <c r="AC83" s="195"/>
      <c r="AD83" s="195"/>
      <c r="AE83" s="192"/>
      <c r="AF83" s="195"/>
      <c r="AG83" s="195"/>
      <c r="AH83" s="195"/>
      <c r="AI83" s="195"/>
      <c r="AJ83" s="195"/>
      <c r="AK83" s="179"/>
      <c r="AL83" s="179"/>
      <c r="AM83" s="179"/>
      <c r="AN83" s="179"/>
      <c r="AO83" s="179"/>
      <c r="AP83" s="30"/>
      <c r="AQ83" s="75"/>
      <c r="AR83" s="2"/>
      <c r="AS83" s="1" t="str">
        <f t="shared" si="11"/>
        <v/>
      </c>
    </row>
    <row r="84" spans="2:45" x14ac:dyDescent="0.2">
      <c r="B84" s="8">
        <f t="shared" si="12"/>
        <v>63</v>
      </c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214"/>
      <c r="P84" s="214"/>
      <c r="Q84" s="214"/>
      <c r="R84" s="217"/>
      <c r="S84" s="217"/>
      <c r="T84" s="217"/>
      <c r="U84" s="220"/>
      <c r="V84" s="220"/>
      <c r="W84" s="220"/>
      <c r="X84" s="223"/>
      <c r="Y84" s="223"/>
      <c r="Z84" s="223"/>
      <c r="AA84" s="195"/>
      <c r="AB84" s="195"/>
      <c r="AC84" s="195"/>
      <c r="AD84" s="195"/>
      <c r="AE84" s="192"/>
      <c r="AF84" s="195"/>
      <c r="AG84" s="195"/>
      <c r="AH84" s="195"/>
      <c r="AI84" s="195"/>
      <c r="AJ84" s="195"/>
      <c r="AK84" s="179"/>
      <c r="AL84" s="179"/>
      <c r="AM84" s="179"/>
      <c r="AN84" s="179"/>
      <c r="AO84" s="179"/>
      <c r="AP84" s="30"/>
      <c r="AQ84" s="75"/>
      <c r="AR84" s="2"/>
      <c r="AS84" s="1" t="str">
        <f t="shared" si="11"/>
        <v/>
      </c>
    </row>
    <row r="85" spans="2:45" x14ac:dyDescent="0.2">
      <c r="B85" s="8">
        <f t="shared" si="12"/>
        <v>64</v>
      </c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214"/>
      <c r="P85" s="214"/>
      <c r="Q85" s="214"/>
      <c r="R85" s="217"/>
      <c r="S85" s="217"/>
      <c r="T85" s="217"/>
      <c r="U85" s="220"/>
      <c r="V85" s="220"/>
      <c r="W85" s="220"/>
      <c r="X85" s="223"/>
      <c r="Y85" s="223"/>
      <c r="Z85" s="223"/>
      <c r="AA85" s="195"/>
      <c r="AB85" s="195"/>
      <c r="AC85" s="195"/>
      <c r="AD85" s="195"/>
      <c r="AE85" s="192"/>
      <c r="AF85" s="195"/>
      <c r="AG85" s="195"/>
      <c r="AH85" s="195"/>
      <c r="AI85" s="195"/>
      <c r="AJ85" s="195"/>
      <c r="AK85" s="179"/>
      <c r="AL85" s="179"/>
      <c r="AM85" s="179"/>
      <c r="AN85" s="179"/>
      <c r="AO85" s="179"/>
      <c r="AP85" s="30"/>
      <c r="AQ85" s="75"/>
      <c r="AR85" s="2"/>
      <c r="AS85" s="1" t="str">
        <f t="shared" si="11"/>
        <v/>
      </c>
    </row>
    <row r="86" spans="2:45" x14ac:dyDescent="0.2">
      <c r="B86" s="8">
        <f t="shared" si="12"/>
        <v>65</v>
      </c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214"/>
      <c r="P86" s="214"/>
      <c r="Q86" s="214"/>
      <c r="R86" s="217"/>
      <c r="S86" s="217"/>
      <c r="T86" s="217"/>
      <c r="U86" s="220"/>
      <c r="V86" s="220"/>
      <c r="W86" s="220"/>
      <c r="X86" s="223"/>
      <c r="Y86" s="223"/>
      <c r="Z86" s="223"/>
      <c r="AA86" s="195"/>
      <c r="AB86" s="195"/>
      <c r="AC86" s="195"/>
      <c r="AD86" s="195"/>
      <c r="AE86" s="192"/>
      <c r="AF86" s="195"/>
      <c r="AG86" s="195"/>
      <c r="AH86" s="195"/>
      <c r="AI86" s="195"/>
      <c r="AJ86" s="195"/>
      <c r="AK86" s="179"/>
      <c r="AL86" s="179"/>
      <c r="AM86" s="179"/>
      <c r="AN86" s="179"/>
      <c r="AO86" s="179"/>
      <c r="AP86" s="30"/>
      <c r="AQ86" s="75"/>
      <c r="AR86" s="2"/>
      <c r="AS86" s="1" t="str">
        <f t="shared" ref="AS86:AS149" si="13">IF(COUNT(C86:AH86)&gt;0,B86,"")</f>
        <v/>
      </c>
    </row>
    <row r="87" spans="2:45" x14ac:dyDescent="0.2">
      <c r="B87" s="8">
        <f t="shared" ref="B87:B150" si="14">ROW()-ROW(B$21)</f>
        <v>66</v>
      </c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214"/>
      <c r="P87" s="214"/>
      <c r="Q87" s="214"/>
      <c r="R87" s="217"/>
      <c r="S87" s="217"/>
      <c r="T87" s="217"/>
      <c r="U87" s="220"/>
      <c r="V87" s="220"/>
      <c r="W87" s="220"/>
      <c r="X87" s="223"/>
      <c r="Y87" s="223"/>
      <c r="Z87" s="223"/>
      <c r="AA87" s="195"/>
      <c r="AB87" s="195"/>
      <c r="AC87" s="195"/>
      <c r="AD87" s="195"/>
      <c r="AE87" s="192"/>
      <c r="AF87" s="195"/>
      <c r="AG87" s="195"/>
      <c r="AH87" s="195"/>
      <c r="AI87" s="195"/>
      <c r="AJ87" s="195"/>
      <c r="AK87" s="179"/>
      <c r="AL87" s="179"/>
      <c r="AM87" s="179"/>
      <c r="AN87" s="179"/>
      <c r="AO87" s="179"/>
      <c r="AP87" s="30"/>
      <c r="AQ87" s="75"/>
      <c r="AR87" s="2"/>
      <c r="AS87" s="1" t="str">
        <f t="shared" si="13"/>
        <v/>
      </c>
    </row>
    <row r="88" spans="2:45" x14ac:dyDescent="0.2">
      <c r="B88" s="8">
        <f t="shared" si="14"/>
        <v>67</v>
      </c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214"/>
      <c r="P88" s="214"/>
      <c r="Q88" s="214"/>
      <c r="R88" s="217"/>
      <c r="S88" s="217"/>
      <c r="T88" s="217"/>
      <c r="U88" s="220"/>
      <c r="V88" s="220"/>
      <c r="W88" s="220"/>
      <c r="X88" s="223"/>
      <c r="Y88" s="223"/>
      <c r="Z88" s="223"/>
      <c r="AA88" s="195"/>
      <c r="AB88" s="195"/>
      <c r="AC88" s="195"/>
      <c r="AD88" s="195"/>
      <c r="AE88" s="192"/>
      <c r="AF88" s="195"/>
      <c r="AG88" s="195"/>
      <c r="AH88" s="195"/>
      <c r="AI88" s="195"/>
      <c r="AJ88" s="195"/>
      <c r="AK88" s="179"/>
      <c r="AL88" s="179"/>
      <c r="AM88" s="179"/>
      <c r="AN88" s="179"/>
      <c r="AO88" s="179"/>
      <c r="AP88" s="30"/>
      <c r="AQ88" s="75"/>
      <c r="AR88" s="2"/>
      <c r="AS88" s="1" t="str">
        <f t="shared" si="13"/>
        <v/>
      </c>
    </row>
    <row r="89" spans="2:45" x14ac:dyDescent="0.2">
      <c r="B89" s="8">
        <f t="shared" si="14"/>
        <v>68</v>
      </c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214"/>
      <c r="P89" s="214"/>
      <c r="Q89" s="214"/>
      <c r="R89" s="217"/>
      <c r="S89" s="217"/>
      <c r="T89" s="217"/>
      <c r="U89" s="220"/>
      <c r="V89" s="220"/>
      <c r="W89" s="220"/>
      <c r="X89" s="223"/>
      <c r="Y89" s="223"/>
      <c r="Z89" s="223"/>
      <c r="AA89" s="195"/>
      <c r="AB89" s="195"/>
      <c r="AC89" s="195"/>
      <c r="AD89" s="195"/>
      <c r="AE89" s="192"/>
      <c r="AF89" s="195"/>
      <c r="AG89" s="195"/>
      <c r="AH89" s="195"/>
      <c r="AI89" s="195"/>
      <c r="AJ89" s="195"/>
      <c r="AK89" s="179"/>
      <c r="AL89" s="179"/>
      <c r="AM89" s="179"/>
      <c r="AN89" s="179"/>
      <c r="AO89" s="179"/>
      <c r="AP89" s="30"/>
      <c r="AQ89" s="75"/>
      <c r="AR89" s="2"/>
      <c r="AS89" s="1" t="str">
        <f t="shared" si="13"/>
        <v/>
      </c>
    </row>
    <row r="90" spans="2:45" x14ac:dyDescent="0.2">
      <c r="B90" s="8">
        <f t="shared" si="14"/>
        <v>69</v>
      </c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214"/>
      <c r="P90" s="214"/>
      <c r="Q90" s="214"/>
      <c r="R90" s="217"/>
      <c r="S90" s="217"/>
      <c r="T90" s="217"/>
      <c r="U90" s="220"/>
      <c r="V90" s="220"/>
      <c r="W90" s="220"/>
      <c r="X90" s="223"/>
      <c r="Y90" s="223"/>
      <c r="Z90" s="223"/>
      <c r="AA90" s="195"/>
      <c r="AB90" s="195"/>
      <c r="AC90" s="195"/>
      <c r="AD90" s="195"/>
      <c r="AE90" s="192"/>
      <c r="AF90" s="195"/>
      <c r="AG90" s="195"/>
      <c r="AH90" s="195"/>
      <c r="AI90" s="195"/>
      <c r="AJ90" s="195"/>
      <c r="AK90" s="179"/>
      <c r="AL90" s="179"/>
      <c r="AM90" s="179"/>
      <c r="AN90" s="179"/>
      <c r="AO90" s="179"/>
      <c r="AP90" s="30"/>
      <c r="AQ90" s="75"/>
      <c r="AR90" s="2"/>
      <c r="AS90" s="1" t="str">
        <f t="shared" si="13"/>
        <v/>
      </c>
    </row>
    <row r="91" spans="2:45" x14ac:dyDescent="0.2">
      <c r="B91" s="8">
        <f t="shared" si="14"/>
        <v>70</v>
      </c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214"/>
      <c r="P91" s="214"/>
      <c r="Q91" s="214"/>
      <c r="R91" s="217"/>
      <c r="S91" s="217"/>
      <c r="T91" s="217"/>
      <c r="U91" s="220"/>
      <c r="V91" s="220"/>
      <c r="W91" s="220"/>
      <c r="X91" s="223"/>
      <c r="Y91" s="223"/>
      <c r="Z91" s="223"/>
      <c r="AA91" s="195"/>
      <c r="AB91" s="195"/>
      <c r="AC91" s="195"/>
      <c r="AD91" s="195"/>
      <c r="AE91" s="192"/>
      <c r="AF91" s="195"/>
      <c r="AG91" s="195"/>
      <c r="AH91" s="195"/>
      <c r="AI91" s="195"/>
      <c r="AJ91" s="195"/>
      <c r="AK91" s="179"/>
      <c r="AL91" s="179"/>
      <c r="AM91" s="179"/>
      <c r="AN91" s="179"/>
      <c r="AO91" s="179"/>
      <c r="AP91" s="30"/>
      <c r="AQ91" s="75"/>
      <c r="AR91" s="2"/>
      <c r="AS91" s="1" t="str">
        <f t="shared" si="13"/>
        <v/>
      </c>
    </row>
    <row r="92" spans="2:45" x14ac:dyDescent="0.2">
      <c r="B92" s="8">
        <f t="shared" si="14"/>
        <v>71</v>
      </c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214"/>
      <c r="P92" s="214"/>
      <c r="Q92" s="214"/>
      <c r="R92" s="217"/>
      <c r="S92" s="217"/>
      <c r="T92" s="217"/>
      <c r="U92" s="220"/>
      <c r="V92" s="220"/>
      <c r="W92" s="220"/>
      <c r="X92" s="223"/>
      <c r="Y92" s="223"/>
      <c r="Z92" s="223"/>
      <c r="AA92" s="195"/>
      <c r="AB92" s="195"/>
      <c r="AC92" s="195"/>
      <c r="AD92" s="195"/>
      <c r="AE92" s="192"/>
      <c r="AF92" s="195"/>
      <c r="AG92" s="195"/>
      <c r="AH92" s="195"/>
      <c r="AI92" s="195"/>
      <c r="AJ92" s="195"/>
      <c r="AK92" s="179"/>
      <c r="AL92" s="179"/>
      <c r="AM92" s="179"/>
      <c r="AN92" s="179"/>
      <c r="AO92" s="179"/>
      <c r="AP92" s="30"/>
      <c r="AQ92" s="75"/>
      <c r="AR92" s="2"/>
      <c r="AS92" s="1" t="str">
        <f t="shared" si="13"/>
        <v/>
      </c>
    </row>
    <row r="93" spans="2:45" x14ac:dyDescent="0.2">
      <c r="B93" s="8">
        <f t="shared" si="14"/>
        <v>72</v>
      </c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214"/>
      <c r="P93" s="214"/>
      <c r="Q93" s="214"/>
      <c r="R93" s="217"/>
      <c r="S93" s="217"/>
      <c r="T93" s="217"/>
      <c r="U93" s="220"/>
      <c r="V93" s="220"/>
      <c r="W93" s="220"/>
      <c r="X93" s="223"/>
      <c r="Y93" s="223"/>
      <c r="Z93" s="223"/>
      <c r="AA93" s="195"/>
      <c r="AB93" s="195"/>
      <c r="AC93" s="195"/>
      <c r="AD93" s="195"/>
      <c r="AE93" s="192"/>
      <c r="AF93" s="195"/>
      <c r="AG93" s="195"/>
      <c r="AH93" s="195"/>
      <c r="AI93" s="195"/>
      <c r="AJ93" s="195"/>
      <c r="AK93" s="179"/>
      <c r="AL93" s="179"/>
      <c r="AM93" s="179"/>
      <c r="AN93" s="179"/>
      <c r="AO93" s="179"/>
      <c r="AP93" s="30"/>
      <c r="AQ93" s="75"/>
      <c r="AR93" s="2"/>
      <c r="AS93" s="1" t="str">
        <f t="shared" si="13"/>
        <v/>
      </c>
    </row>
    <row r="94" spans="2:45" x14ac:dyDescent="0.2">
      <c r="B94" s="8">
        <f t="shared" si="14"/>
        <v>73</v>
      </c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214"/>
      <c r="P94" s="214"/>
      <c r="Q94" s="214"/>
      <c r="R94" s="217"/>
      <c r="S94" s="217"/>
      <c r="T94" s="217"/>
      <c r="U94" s="220"/>
      <c r="V94" s="220"/>
      <c r="W94" s="220"/>
      <c r="X94" s="223"/>
      <c r="Y94" s="223"/>
      <c r="Z94" s="223"/>
      <c r="AA94" s="195"/>
      <c r="AB94" s="195"/>
      <c r="AC94" s="195"/>
      <c r="AD94" s="195"/>
      <c r="AE94" s="192"/>
      <c r="AF94" s="195"/>
      <c r="AG94" s="195"/>
      <c r="AH94" s="195"/>
      <c r="AI94" s="195"/>
      <c r="AJ94" s="195"/>
      <c r="AK94" s="179"/>
      <c r="AL94" s="179"/>
      <c r="AM94" s="179"/>
      <c r="AN94" s="179"/>
      <c r="AO94" s="179"/>
      <c r="AP94" s="30"/>
      <c r="AQ94" s="75"/>
      <c r="AR94" s="2"/>
      <c r="AS94" s="1" t="str">
        <f t="shared" si="13"/>
        <v/>
      </c>
    </row>
    <row r="95" spans="2:45" x14ac:dyDescent="0.2">
      <c r="B95" s="8">
        <f t="shared" si="14"/>
        <v>74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214"/>
      <c r="P95" s="214"/>
      <c r="Q95" s="214"/>
      <c r="R95" s="217"/>
      <c r="S95" s="217"/>
      <c r="T95" s="217"/>
      <c r="U95" s="220"/>
      <c r="V95" s="220"/>
      <c r="W95" s="220"/>
      <c r="X95" s="223"/>
      <c r="Y95" s="223"/>
      <c r="Z95" s="223"/>
      <c r="AA95" s="195"/>
      <c r="AB95" s="195"/>
      <c r="AC95" s="195"/>
      <c r="AD95" s="195"/>
      <c r="AE95" s="192"/>
      <c r="AF95" s="195"/>
      <c r="AG95" s="195"/>
      <c r="AH95" s="195"/>
      <c r="AI95" s="195"/>
      <c r="AJ95" s="195"/>
      <c r="AK95" s="179"/>
      <c r="AL95" s="179"/>
      <c r="AM95" s="179"/>
      <c r="AN95" s="179"/>
      <c r="AO95" s="179"/>
      <c r="AP95" s="30"/>
      <c r="AQ95" s="75"/>
      <c r="AR95" s="2"/>
      <c r="AS95" s="1" t="str">
        <f t="shared" si="13"/>
        <v/>
      </c>
    </row>
    <row r="96" spans="2:45" x14ac:dyDescent="0.2">
      <c r="B96" s="8">
        <f t="shared" si="14"/>
        <v>75</v>
      </c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214"/>
      <c r="P96" s="214"/>
      <c r="Q96" s="214"/>
      <c r="R96" s="217"/>
      <c r="S96" s="217"/>
      <c r="T96" s="217"/>
      <c r="U96" s="220"/>
      <c r="V96" s="220"/>
      <c r="W96" s="220"/>
      <c r="X96" s="223"/>
      <c r="Y96" s="223"/>
      <c r="Z96" s="223"/>
      <c r="AA96" s="195"/>
      <c r="AB96" s="195"/>
      <c r="AC96" s="195"/>
      <c r="AD96" s="195"/>
      <c r="AE96" s="192"/>
      <c r="AF96" s="195"/>
      <c r="AG96" s="195"/>
      <c r="AH96" s="195"/>
      <c r="AI96" s="195"/>
      <c r="AJ96" s="195"/>
      <c r="AK96" s="179"/>
      <c r="AL96" s="179"/>
      <c r="AM96" s="179"/>
      <c r="AN96" s="179"/>
      <c r="AO96" s="179"/>
      <c r="AP96" s="30"/>
      <c r="AQ96" s="75"/>
      <c r="AR96" s="2"/>
      <c r="AS96" s="1" t="str">
        <f t="shared" si="13"/>
        <v/>
      </c>
    </row>
    <row r="97" spans="2:45" x14ac:dyDescent="0.2">
      <c r="B97" s="8">
        <f t="shared" si="14"/>
        <v>76</v>
      </c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214"/>
      <c r="P97" s="214"/>
      <c r="Q97" s="214"/>
      <c r="R97" s="217"/>
      <c r="S97" s="217"/>
      <c r="T97" s="217"/>
      <c r="U97" s="220"/>
      <c r="V97" s="220"/>
      <c r="W97" s="220"/>
      <c r="X97" s="223"/>
      <c r="Y97" s="223"/>
      <c r="Z97" s="223"/>
      <c r="AA97" s="195"/>
      <c r="AB97" s="195"/>
      <c r="AC97" s="195"/>
      <c r="AD97" s="195"/>
      <c r="AE97" s="192"/>
      <c r="AF97" s="195"/>
      <c r="AG97" s="195"/>
      <c r="AH97" s="195"/>
      <c r="AI97" s="195"/>
      <c r="AJ97" s="195"/>
      <c r="AK97" s="179"/>
      <c r="AL97" s="179"/>
      <c r="AM97" s="179"/>
      <c r="AN97" s="179"/>
      <c r="AO97" s="179"/>
      <c r="AP97" s="30"/>
      <c r="AQ97" s="75"/>
      <c r="AR97" s="2"/>
      <c r="AS97" s="1" t="str">
        <f t="shared" si="13"/>
        <v/>
      </c>
    </row>
    <row r="98" spans="2:45" x14ac:dyDescent="0.2">
      <c r="B98" s="8">
        <f t="shared" si="14"/>
        <v>77</v>
      </c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214"/>
      <c r="P98" s="214"/>
      <c r="Q98" s="214"/>
      <c r="R98" s="217"/>
      <c r="S98" s="217"/>
      <c r="T98" s="217"/>
      <c r="U98" s="220"/>
      <c r="V98" s="220"/>
      <c r="W98" s="220"/>
      <c r="X98" s="223"/>
      <c r="Y98" s="223"/>
      <c r="Z98" s="223"/>
      <c r="AA98" s="195"/>
      <c r="AB98" s="195"/>
      <c r="AC98" s="195"/>
      <c r="AD98" s="195"/>
      <c r="AE98" s="192"/>
      <c r="AF98" s="195"/>
      <c r="AG98" s="195"/>
      <c r="AH98" s="195"/>
      <c r="AI98" s="195"/>
      <c r="AJ98" s="195"/>
      <c r="AK98" s="179"/>
      <c r="AL98" s="179"/>
      <c r="AM98" s="179"/>
      <c r="AN98" s="179"/>
      <c r="AO98" s="179"/>
      <c r="AP98" s="30"/>
      <c r="AQ98" s="75"/>
      <c r="AR98" s="2"/>
      <c r="AS98" s="1" t="str">
        <f t="shared" si="13"/>
        <v/>
      </c>
    </row>
    <row r="99" spans="2:45" x14ac:dyDescent="0.2">
      <c r="B99" s="8">
        <f t="shared" si="14"/>
        <v>78</v>
      </c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214"/>
      <c r="P99" s="214"/>
      <c r="Q99" s="214"/>
      <c r="R99" s="217"/>
      <c r="S99" s="217"/>
      <c r="T99" s="217"/>
      <c r="U99" s="220"/>
      <c r="V99" s="220"/>
      <c r="W99" s="220"/>
      <c r="X99" s="223"/>
      <c r="Y99" s="223"/>
      <c r="Z99" s="223"/>
      <c r="AA99" s="195"/>
      <c r="AB99" s="195"/>
      <c r="AC99" s="195"/>
      <c r="AD99" s="195"/>
      <c r="AE99" s="192"/>
      <c r="AF99" s="195"/>
      <c r="AG99" s="195"/>
      <c r="AH99" s="195"/>
      <c r="AI99" s="195"/>
      <c r="AJ99" s="195"/>
      <c r="AK99" s="179"/>
      <c r="AL99" s="179"/>
      <c r="AM99" s="179"/>
      <c r="AN99" s="179"/>
      <c r="AO99" s="179"/>
      <c r="AP99" s="30"/>
      <c r="AQ99" s="75"/>
      <c r="AR99" s="2"/>
      <c r="AS99" s="1" t="str">
        <f t="shared" si="13"/>
        <v/>
      </c>
    </row>
    <row r="100" spans="2:45" x14ac:dyDescent="0.2">
      <c r="B100" s="8">
        <f t="shared" si="14"/>
        <v>79</v>
      </c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214"/>
      <c r="P100" s="214"/>
      <c r="Q100" s="214"/>
      <c r="R100" s="217"/>
      <c r="S100" s="217"/>
      <c r="T100" s="217"/>
      <c r="U100" s="220"/>
      <c r="V100" s="220"/>
      <c r="W100" s="220"/>
      <c r="X100" s="223"/>
      <c r="Y100" s="223"/>
      <c r="Z100" s="223"/>
      <c r="AA100" s="195"/>
      <c r="AB100" s="195"/>
      <c r="AC100" s="195"/>
      <c r="AD100" s="195"/>
      <c r="AE100" s="192"/>
      <c r="AF100" s="195"/>
      <c r="AG100" s="195"/>
      <c r="AH100" s="195"/>
      <c r="AI100" s="195"/>
      <c r="AJ100" s="195"/>
      <c r="AK100" s="179"/>
      <c r="AL100" s="179"/>
      <c r="AM100" s="179"/>
      <c r="AN100" s="179"/>
      <c r="AO100" s="179"/>
      <c r="AP100" s="30"/>
      <c r="AQ100" s="75"/>
      <c r="AR100" s="2"/>
      <c r="AS100" s="1" t="str">
        <f t="shared" si="13"/>
        <v/>
      </c>
    </row>
    <row r="101" spans="2:45" x14ac:dyDescent="0.2">
      <c r="B101" s="8">
        <f t="shared" si="14"/>
        <v>80</v>
      </c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214"/>
      <c r="P101" s="214"/>
      <c r="Q101" s="214"/>
      <c r="R101" s="217"/>
      <c r="S101" s="217"/>
      <c r="T101" s="217"/>
      <c r="U101" s="220"/>
      <c r="V101" s="220"/>
      <c r="W101" s="220"/>
      <c r="X101" s="223"/>
      <c r="Y101" s="223"/>
      <c r="Z101" s="223"/>
      <c r="AA101" s="195"/>
      <c r="AB101" s="195"/>
      <c r="AC101" s="195"/>
      <c r="AD101" s="195"/>
      <c r="AE101" s="192"/>
      <c r="AF101" s="195"/>
      <c r="AG101" s="195"/>
      <c r="AH101" s="195"/>
      <c r="AI101" s="195"/>
      <c r="AJ101" s="195"/>
      <c r="AK101" s="179"/>
      <c r="AL101" s="179"/>
      <c r="AM101" s="179"/>
      <c r="AN101" s="179"/>
      <c r="AO101" s="179"/>
      <c r="AP101" s="30"/>
      <c r="AQ101" s="75"/>
      <c r="AR101" s="2"/>
      <c r="AS101" s="1" t="str">
        <f t="shared" si="13"/>
        <v/>
      </c>
    </row>
    <row r="102" spans="2:45" x14ac:dyDescent="0.2">
      <c r="B102" s="8">
        <f t="shared" si="14"/>
        <v>81</v>
      </c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214"/>
      <c r="P102" s="214"/>
      <c r="Q102" s="214"/>
      <c r="R102" s="217"/>
      <c r="S102" s="217"/>
      <c r="T102" s="217"/>
      <c r="U102" s="220"/>
      <c r="V102" s="220"/>
      <c r="W102" s="220"/>
      <c r="X102" s="223"/>
      <c r="Y102" s="223"/>
      <c r="Z102" s="223"/>
      <c r="AA102" s="195"/>
      <c r="AB102" s="195"/>
      <c r="AC102" s="195"/>
      <c r="AD102" s="195"/>
      <c r="AE102" s="192"/>
      <c r="AF102" s="195"/>
      <c r="AG102" s="195"/>
      <c r="AH102" s="195"/>
      <c r="AI102" s="195"/>
      <c r="AJ102" s="195"/>
      <c r="AK102" s="179"/>
      <c r="AL102" s="179"/>
      <c r="AM102" s="179"/>
      <c r="AN102" s="179"/>
      <c r="AO102" s="179"/>
      <c r="AP102" s="30"/>
      <c r="AQ102" s="75"/>
      <c r="AR102" s="2"/>
      <c r="AS102" s="1" t="str">
        <f t="shared" si="13"/>
        <v/>
      </c>
    </row>
    <row r="103" spans="2:45" x14ac:dyDescent="0.2">
      <c r="B103" s="8">
        <f t="shared" si="14"/>
        <v>82</v>
      </c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214"/>
      <c r="P103" s="214"/>
      <c r="Q103" s="214"/>
      <c r="R103" s="217"/>
      <c r="S103" s="217"/>
      <c r="T103" s="217"/>
      <c r="U103" s="220"/>
      <c r="V103" s="220"/>
      <c r="W103" s="220"/>
      <c r="X103" s="223"/>
      <c r="Y103" s="223"/>
      <c r="Z103" s="223"/>
      <c r="AA103" s="195"/>
      <c r="AB103" s="195"/>
      <c r="AC103" s="195"/>
      <c r="AD103" s="195"/>
      <c r="AE103" s="192"/>
      <c r="AF103" s="195"/>
      <c r="AG103" s="195"/>
      <c r="AH103" s="195"/>
      <c r="AI103" s="195"/>
      <c r="AJ103" s="195"/>
      <c r="AK103" s="179"/>
      <c r="AL103" s="179"/>
      <c r="AM103" s="179"/>
      <c r="AN103" s="179"/>
      <c r="AO103" s="179"/>
      <c r="AP103" s="30"/>
      <c r="AQ103" s="75"/>
      <c r="AR103" s="2"/>
      <c r="AS103" s="1" t="str">
        <f t="shared" si="13"/>
        <v/>
      </c>
    </row>
    <row r="104" spans="2:45" x14ac:dyDescent="0.2">
      <c r="B104" s="8">
        <f t="shared" si="14"/>
        <v>83</v>
      </c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214"/>
      <c r="P104" s="214"/>
      <c r="Q104" s="214"/>
      <c r="R104" s="217"/>
      <c r="S104" s="217"/>
      <c r="T104" s="217"/>
      <c r="U104" s="220"/>
      <c r="V104" s="220"/>
      <c r="W104" s="220"/>
      <c r="X104" s="223"/>
      <c r="Y104" s="223"/>
      <c r="Z104" s="223"/>
      <c r="AA104" s="195"/>
      <c r="AB104" s="195"/>
      <c r="AC104" s="195"/>
      <c r="AD104" s="195"/>
      <c r="AE104" s="192"/>
      <c r="AF104" s="195"/>
      <c r="AG104" s="195"/>
      <c r="AH104" s="195"/>
      <c r="AI104" s="195"/>
      <c r="AJ104" s="195"/>
      <c r="AK104" s="179"/>
      <c r="AL104" s="179"/>
      <c r="AM104" s="179"/>
      <c r="AN104" s="179"/>
      <c r="AO104" s="179"/>
      <c r="AP104" s="30"/>
      <c r="AQ104" s="75"/>
      <c r="AR104" s="2"/>
      <c r="AS104" s="1" t="str">
        <f t="shared" si="13"/>
        <v/>
      </c>
    </row>
    <row r="105" spans="2:45" x14ac:dyDescent="0.2">
      <c r="B105" s="8">
        <f t="shared" si="14"/>
        <v>84</v>
      </c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214"/>
      <c r="P105" s="214"/>
      <c r="Q105" s="214"/>
      <c r="R105" s="217"/>
      <c r="S105" s="217"/>
      <c r="T105" s="217"/>
      <c r="U105" s="220"/>
      <c r="V105" s="220"/>
      <c r="W105" s="220"/>
      <c r="X105" s="223"/>
      <c r="Y105" s="223"/>
      <c r="Z105" s="223"/>
      <c r="AA105" s="195"/>
      <c r="AB105" s="195"/>
      <c r="AC105" s="195"/>
      <c r="AD105" s="195"/>
      <c r="AE105" s="192"/>
      <c r="AF105" s="195"/>
      <c r="AG105" s="195"/>
      <c r="AH105" s="195"/>
      <c r="AI105" s="195"/>
      <c r="AJ105" s="195"/>
      <c r="AK105" s="179"/>
      <c r="AL105" s="179"/>
      <c r="AM105" s="179"/>
      <c r="AN105" s="179"/>
      <c r="AO105" s="179"/>
      <c r="AP105" s="30"/>
      <c r="AQ105" s="75"/>
      <c r="AR105" s="2"/>
      <c r="AS105" s="1" t="str">
        <f t="shared" si="13"/>
        <v/>
      </c>
    </row>
    <row r="106" spans="2:45" x14ac:dyDescent="0.2">
      <c r="B106" s="8">
        <f t="shared" si="14"/>
        <v>85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214"/>
      <c r="P106" s="214"/>
      <c r="Q106" s="214"/>
      <c r="R106" s="217"/>
      <c r="S106" s="217"/>
      <c r="T106" s="217"/>
      <c r="U106" s="220"/>
      <c r="V106" s="220"/>
      <c r="W106" s="220"/>
      <c r="X106" s="223"/>
      <c r="Y106" s="223"/>
      <c r="Z106" s="223"/>
      <c r="AA106" s="195"/>
      <c r="AB106" s="195"/>
      <c r="AC106" s="195"/>
      <c r="AD106" s="195"/>
      <c r="AE106" s="192"/>
      <c r="AF106" s="195"/>
      <c r="AG106" s="195"/>
      <c r="AH106" s="195"/>
      <c r="AI106" s="195"/>
      <c r="AJ106" s="195"/>
      <c r="AK106" s="179"/>
      <c r="AL106" s="179"/>
      <c r="AM106" s="179"/>
      <c r="AN106" s="179"/>
      <c r="AO106" s="179"/>
      <c r="AP106" s="30"/>
      <c r="AQ106" s="75"/>
      <c r="AR106" s="2"/>
      <c r="AS106" s="1" t="str">
        <f t="shared" si="13"/>
        <v/>
      </c>
    </row>
    <row r="107" spans="2:45" x14ac:dyDescent="0.2">
      <c r="B107" s="8">
        <f t="shared" si="14"/>
        <v>86</v>
      </c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214"/>
      <c r="P107" s="214"/>
      <c r="Q107" s="214"/>
      <c r="R107" s="217"/>
      <c r="S107" s="217"/>
      <c r="T107" s="217"/>
      <c r="U107" s="220"/>
      <c r="V107" s="220"/>
      <c r="W107" s="220"/>
      <c r="X107" s="223"/>
      <c r="Y107" s="223"/>
      <c r="Z107" s="223"/>
      <c r="AA107" s="195"/>
      <c r="AB107" s="195"/>
      <c r="AC107" s="195"/>
      <c r="AD107" s="195"/>
      <c r="AE107" s="192"/>
      <c r="AF107" s="195"/>
      <c r="AG107" s="195"/>
      <c r="AH107" s="195"/>
      <c r="AI107" s="195"/>
      <c r="AJ107" s="195"/>
      <c r="AK107" s="179"/>
      <c r="AL107" s="179"/>
      <c r="AM107" s="179"/>
      <c r="AN107" s="179"/>
      <c r="AO107" s="179"/>
      <c r="AP107" s="30"/>
      <c r="AQ107" s="75"/>
      <c r="AR107" s="2"/>
      <c r="AS107" s="1" t="str">
        <f t="shared" si="13"/>
        <v/>
      </c>
    </row>
    <row r="108" spans="2:45" x14ac:dyDescent="0.2">
      <c r="B108" s="8">
        <f t="shared" si="14"/>
        <v>87</v>
      </c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214"/>
      <c r="P108" s="214"/>
      <c r="Q108" s="214"/>
      <c r="R108" s="217"/>
      <c r="S108" s="217"/>
      <c r="T108" s="217"/>
      <c r="U108" s="220"/>
      <c r="V108" s="220"/>
      <c r="W108" s="220"/>
      <c r="X108" s="223"/>
      <c r="Y108" s="223"/>
      <c r="Z108" s="223"/>
      <c r="AA108" s="195"/>
      <c r="AB108" s="195"/>
      <c r="AC108" s="195"/>
      <c r="AD108" s="195"/>
      <c r="AE108" s="192"/>
      <c r="AF108" s="195"/>
      <c r="AG108" s="195"/>
      <c r="AH108" s="195"/>
      <c r="AI108" s="195"/>
      <c r="AJ108" s="195"/>
      <c r="AK108" s="179"/>
      <c r="AL108" s="179"/>
      <c r="AM108" s="179"/>
      <c r="AN108" s="179"/>
      <c r="AO108" s="179"/>
      <c r="AP108" s="30"/>
      <c r="AQ108" s="75"/>
      <c r="AR108" s="2"/>
      <c r="AS108" s="1" t="str">
        <f t="shared" si="13"/>
        <v/>
      </c>
    </row>
    <row r="109" spans="2:45" x14ac:dyDescent="0.2">
      <c r="B109" s="8">
        <f t="shared" si="14"/>
        <v>88</v>
      </c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214"/>
      <c r="P109" s="214"/>
      <c r="Q109" s="214"/>
      <c r="R109" s="217"/>
      <c r="S109" s="217"/>
      <c r="T109" s="217"/>
      <c r="U109" s="220"/>
      <c r="V109" s="220"/>
      <c r="W109" s="220"/>
      <c r="X109" s="223"/>
      <c r="Y109" s="223"/>
      <c r="Z109" s="223"/>
      <c r="AA109" s="195"/>
      <c r="AB109" s="195"/>
      <c r="AC109" s="195"/>
      <c r="AD109" s="195"/>
      <c r="AE109" s="192"/>
      <c r="AF109" s="195"/>
      <c r="AG109" s="195"/>
      <c r="AH109" s="195"/>
      <c r="AI109" s="195"/>
      <c r="AJ109" s="195"/>
      <c r="AK109" s="179"/>
      <c r="AL109" s="179"/>
      <c r="AM109" s="179"/>
      <c r="AN109" s="179"/>
      <c r="AO109" s="179"/>
      <c r="AP109" s="30"/>
      <c r="AQ109" s="75"/>
      <c r="AR109" s="2"/>
      <c r="AS109" s="1" t="str">
        <f t="shared" si="13"/>
        <v/>
      </c>
    </row>
    <row r="110" spans="2:45" x14ac:dyDescent="0.2">
      <c r="B110" s="8">
        <f t="shared" si="14"/>
        <v>89</v>
      </c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214"/>
      <c r="P110" s="214"/>
      <c r="Q110" s="214"/>
      <c r="R110" s="217"/>
      <c r="S110" s="217"/>
      <c r="T110" s="217"/>
      <c r="U110" s="220"/>
      <c r="V110" s="220"/>
      <c r="W110" s="220"/>
      <c r="X110" s="223"/>
      <c r="Y110" s="223"/>
      <c r="Z110" s="223"/>
      <c r="AA110" s="195"/>
      <c r="AB110" s="195"/>
      <c r="AC110" s="195"/>
      <c r="AD110" s="195"/>
      <c r="AE110" s="192"/>
      <c r="AF110" s="195"/>
      <c r="AG110" s="195"/>
      <c r="AH110" s="195"/>
      <c r="AI110" s="195"/>
      <c r="AJ110" s="195"/>
      <c r="AK110" s="179"/>
      <c r="AL110" s="179"/>
      <c r="AM110" s="179"/>
      <c r="AN110" s="179"/>
      <c r="AO110" s="179"/>
      <c r="AP110" s="30"/>
      <c r="AQ110" s="75"/>
      <c r="AR110" s="2"/>
      <c r="AS110" s="1" t="str">
        <f t="shared" si="13"/>
        <v/>
      </c>
    </row>
    <row r="111" spans="2:45" x14ac:dyDescent="0.2">
      <c r="B111" s="8">
        <f t="shared" si="14"/>
        <v>90</v>
      </c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214"/>
      <c r="P111" s="214"/>
      <c r="Q111" s="214"/>
      <c r="R111" s="217"/>
      <c r="S111" s="217"/>
      <c r="T111" s="217"/>
      <c r="U111" s="220"/>
      <c r="V111" s="220"/>
      <c r="W111" s="220"/>
      <c r="X111" s="223"/>
      <c r="Y111" s="223"/>
      <c r="Z111" s="223"/>
      <c r="AA111" s="195"/>
      <c r="AB111" s="195"/>
      <c r="AC111" s="195"/>
      <c r="AD111" s="195"/>
      <c r="AE111" s="192"/>
      <c r="AF111" s="195"/>
      <c r="AG111" s="195"/>
      <c r="AH111" s="195"/>
      <c r="AI111" s="195"/>
      <c r="AJ111" s="195"/>
      <c r="AK111" s="179"/>
      <c r="AL111" s="179"/>
      <c r="AM111" s="179"/>
      <c r="AN111" s="179"/>
      <c r="AO111" s="179"/>
      <c r="AP111" s="30"/>
      <c r="AQ111" s="75"/>
      <c r="AR111" s="2"/>
      <c r="AS111" s="1" t="str">
        <f t="shared" si="13"/>
        <v/>
      </c>
    </row>
    <row r="112" spans="2:45" x14ac:dyDescent="0.2">
      <c r="B112" s="8">
        <f t="shared" si="14"/>
        <v>91</v>
      </c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214"/>
      <c r="P112" s="214"/>
      <c r="Q112" s="214"/>
      <c r="R112" s="217"/>
      <c r="S112" s="217"/>
      <c r="T112" s="217"/>
      <c r="U112" s="220"/>
      <c r="V112" s="220"/>
      <c r="W112" s="220"/>
      <c r="X112" s="223"/>
      <c r="Y112" s="223"/>
      <c r="Z112" s="223"/>
      <c r="AA112" s="195"/>
      <c r="AB112" s="195"/>
      <c r="AC112" s="195"/>
      <c r="AD112" s="195"/>
      <c r="AE112" s="192"/>
      <c r="AF112" s="195"/>
      <c r="AG112" s="195"/>
      <c r="AH112" s="195"/>
      <c r="AI112" s="195"/>
      <c r="AJ112" s="195"/>
      <c r="AK112" s="179"/>
      <c r="AL112" s="179"/>
      <c r="AM112" s="179"/>
      <c r="AN112" s="179"/>
      <c r="AO112" s="179"/>
      <c r="AP112" s="30"/>
      <c r="AQ112" s="75"/>
      <c r="AR112" s="2"/>
      <c r="AS112" s="1" t="str">
        <f t="shared" si="13"/>
        <v/>
      </c>
    </row>
    <row r="113" spans="2:45" x14ac:dyDescent="0.2">
      <c r="B113" s="8">
        <f t="shared" si="14"/>
        <v>92</v>
      </c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214"/>
      <c r="P113" s="214"/>
      <c r="Q113" s="214"/>
      <c r="R113" s="217"/>
      <c r="S113" s="217"/>
      <c r="T113" s="217"/>
      <c r="U113" s="220"/>
      <c r="V113" s="220"/>
      <c r="W113" s="220"/>
      <c r="X113" s="223"/>
      <c r="Y113" s="223"/>
      <c r="Z113" s="223"/>
      <c r="AA113" s="195"/>
      <c r="AB113" s="195"/>
      <c r="AC113" s="195"/>
      <c r="AD113" s="195"/>
      <c r="AE113" s="192"/>
      <c r="AF113" s="195"/>
      <c r="AG113" s="195"/>
      <c r="AH113" s="195"/>
      <c r="AI113" s="195"/>
      <c r="AJ113" s="195"/>
      <c r="AK113" s="179"/>
      <c r="AL113" s="179"/>
      <c r="AM113" s="179"/>
      <c r="AN113" s="179"/>
      <c r="AO113" s="179"/>
      <c r="AP113" s="30"/>
      <c r="AQ113" s="75"/>
      <c r="AR113" s="2"/>
      <c r="AS113" s="1" t="str">
        <f t="shared" si="13"/>
        <v/>
      </c>
    </row>
    <row r="114" spans="2:45" x14ac:dyDescent="0.2">
      <c r="B114" s="8">
        <f t="shared" si="14"/>
        <v>93</v>
      </c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214"/>
      <c r="P114" s="214"/>
      <c r="Q114" s="214"/>
      <c r="R114" s="217"/>
      <c r="S114" s="217"/>
      <c r="T114" s="217"/>
      <c r="U114" s="220"/>
      <c r="V114" s="220"/>
      <c r="W114" s="220"/>
      <c r="X114" s="223"/>
      <c r="Y114" s="223"/>
      <c r="Z114" s="223"/>
      <c r="AA114" s="195"/>
      <c r="AB114" s="195"/>
      <c r="AC114" s="195"/>
      <c r="AD114" s="195"/>
      <c r="AE114" s="192"/>
      <c r="AF114" s="195"/>
      <c r="AG114" s="195"/>
      <c r="AH114" s="195"/>
      <c r="AI114" s="195"/>
      <c r="AJ114" s="195"/>
      <c r="AK114" s="179"/>
      <c r="AL114" s="179"/>
      <c r="AM114" s="179"/>
      <c r="AN114" s="179"/>
      <c r="AO114" s="179"/>
      <c r="AP114" s="30"/>
      <c r="AQ114" s="75"/>
      <c r="AR114" s="2"/>
      <c r="AS114" s="1" t="str">
        <f t="shared" si="13"/>
        <v/>
      </c>
    </row>
    <row r="115" spans="2:45" x14ac:dyDescent="0.2">
      <c r="B115" s="8">
        <f t="shared" si="14"/>
        <v>94</v>
      </c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214"/>
      <c r="P115" s="214"/>
      <c r="Q115" s="214"/>
      <c r="R115" s="217"/>
      <c r="S115" s="217"/>
      <c r="T115" s="217"/>
      <c r="U115" s="220"/>
      <c r="V115" s="220"/>
      <c r="W115" s="220"/>
      <c r="X115" s="223"/>
      <c r="Y115" s="223"/>
      <c r="Z115" s="223"/>
      <c r="AA115" s="195"/>
      <c r="AB115" s="195"/>
      <c r="AC115" s="195"/>
      <c r="AD115" s="195"/>
      <c r="AE115" s="192"/>
      <c r="AF115" s="195"/>
      <c r="AG115" s="195"/>
      <c r="AH115" s="195"/>
      <c r="AI115" s="195"/>
      <c r="AJ115" s="195"/>
      <c r="AK115" s="179"/>
      <c r="AL115" s="179"/>
      <c r="AM115" s="179"/>
      <c r="AN115" s="179"/>
      <c r="AO115" s="179"/>
      <c r="AP115" s="30"/>
      <c r="AQ115" s="75"/>
      <c r="AR115" s="2"/>
      <c r="AS115" s="1" t="str">
        <f t="shared" si="13"/>
        <v/>
      </c>
    </row>
    <row r="116" spans="2:45" x14ac:dyDescent="0.2">
      <c r="B116" s="8">
        <f t="shared" si="14"/>
        <v>95</v>
      </c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214"/>
      <c r="P116" s="214"/>
      <c r="Q116" s="214"/>
      <c r="R116" s="217"/>
      <c r="S116" s="217"/>
      <c r="T116" s="217"/>
      <c r="U116" s="220"/>
      <c r="V116" s="220"/>
      <c r="W116" s="220"/>
      <c r="X116" s="223"/>
      <c r="Y116" s="223"/>
      <c r="Z116" s="223"/>
      <c r="AA116" s="195"/>
      <c r="AB116" s="195"/>
      <c r="AC116" s="195"/>
      <c r="AD116" s="195"/>
      <c r="AE116" s="192"/>
      <c r="AF116" s="195"/>
      <c r="AG116" s="195"/>
      <c r="AH116" s="195"/>
      <c r="AI116" s="195"/>
      <c r="AJ116" s="195"/>
      <c r="AK116" s="179"/>
      <c r="AL116" s="179"/>
      <c r="AM116" s="179"/>
      <c r="AN116" s="179"/>
      <c r="AO116" s="179"/>
      <c r="AP116" s="30"/>
      <c r="AQ116" s="75"/>
      <c r="AR116" s="2"/>
      <c r="AS116" s="1" t="str">
        <f t="shared" si="13"/>
        <v/>
      </c>
    </row>
    <row r="117" spans="2:45" x14ac:dyDescent="0.2">
      <c r="B117" s="8">
        <f t="shared" si="14"/>
        <v>96</v>
      </c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214"/>
      <c r="P117" s="214"/>
      <c r="Q117" s="214"/>
      <c r="R117" s="217"/>
      <c r="S117" s="217"/>
      <c r="T117" s="217"/>
      <c r="U117" s="220"/>
      <c r="V117" s="220"/>
      <c r="W117" s="220"/>
      <c r="X117" s="223"/>
      <c r="Y117" s="223"/>
      <c r="Z117" s="223"/>
      <c r="AA117" s="195"/>
      <c r="AB117" s="195"/>
      <c r="AC117" s="195"/>
      <c r="AD117" s="195"/>
      <c r="AE117" s="192"/>
      <c r="AF117" s="195"/>
      <c r="AG117" s="195"/>
      <c r="AH117" s="195"/>
      <c r="AI117" s="195"/>
      <c r="AJ117" s="195"/>
      <c r="AK117" s="179"/>
      <c r="AL117" s="179"/>
      <c r="AM117" s="179"/>
      <c r="AN117" s="179"/>
      <c r="AO117" s="179"/>
      <c r="AP117" s="30"/>
      <c r="AQ117" s="75"/>
      <c r="AR117" s="2"/>
      <c r="AS117" s="1" t="str">
        <f t="shared" si="13"/>
        <v/>
      </c>
    </row>
    <row r="118" spans="2:45" x14ac:dyDescent="0.2">
      <c r="B118" s="8">
        <f t="shared" si="14"/>
        <v>97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214"/>
      <c r="P118" s="214"/>
      <c r="Q118" s="214"/>
      <c r="R118" s="217"/>
      <c r="S118" s="217"/>
      <c r="T118" s="217"/>
      <c r="U118" s="220"/>
      <c r="V118" s="220"/>
      <c r="W118" s="220"/>
      <c r="X118" s="223"/>
      <c r="Y118" s="223"/>
      <c r="Z118" s="223"/>
      <c r="AA118" s="195"/>
      <c r="AB118" s="195"/>
      <c r="AC118" s="195"/>
      <c r="AD118" s="195"/>
      <c r="AE118" s="192"/>
      <c r="AF118" s="195"/>
      <c r="AG118" s="195"/>
      <c r="AH118" s="195"/>
      <c r="AI118" s="195"/>
      <c r="AJ118" s="195"/>
      <c r="AK118" s="179"/>
      <c r="AL118" s="179"/>
      <c r="AM118" s="179"/>
      <c r="AN118" s="179"/>
      <c r="AO118" s="179"/>
      <c r="AP118" s="30"/>
      <c r="AQ118" s="75"/>
      <c r="AR118" s="2"/>
      <c r="AS118" s="1" t="str">
        <f t="shared" si="13"/>
        <v/>
      </c>
    </row>
    <row r="119" spans="2:45" x14ac:dyDescent="0.2">
      <c r="B119" s="8">
        <f t="shared" si="14"/>
        <v>98</v>
      </c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214"/>
      <c r="P119" s="214"/>
      <c r="Q119" s="214"/>
      <c r="R119" s="217"/>
      <c r="S119" s="217"/>
      <c r="T119" s="217"/>
      <c r="U119" s="220"/>
      <c r="V119" s="220"/>
      <c r="W119" s="220"/>
      <c r="X119" s="223"/>
      <c r="Y119" s="223"/>
      <c r="Z119" s="223"/>
      <c r="AA119" s="195"/>
      <c r="AB119" s="195"/>
      <c r="AC119" s="195"/>
      <c r="AD119" s="195"/>
      <c r="AE119" s="192"/>
      <c r="AF119" s="195"/>
      <c r="AG119" s="195"/>
      <c r="AH119" s="195"/>
      <c r="AI119" s="195"/>
      <c r="AJ119" s="195"/>
      <c r="AK119" s="179"/>
      <c r="AL119" s="179"/>
      <c r="AM119" s="179"/>
      <c r="AN119" s="179"/>
      <c r="AO119" s="179"/>
      <c r="AP119" s="30"/>
      <c r="AQ119" s="75"/>
      <c r="AR119" s="2"/>
      <c r="AS119" s="1" t="str">
        <f t="shared" si="13"/>
        <v/>
      </c>
    </row>
    <row r="120" spans="2:45" x14ac:dyDescent="0.2">
      <c r="B120" s="8">
        <f t="shared" si="14"/>
        <v>99</v>
      </c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214"/>
      <c r="P120" s="214"/>
      <c r="Q120" s="214"/>
      <c r="R120" s="217"/>
      <c r="S120" s="217"/>
      <c r="T120" s="217"/>
      <c r="U120" s="220"/>
      <c r="V120" s="220"/>
      <c r="W120" s="220"/>
      <c r="X120" s="223"/>
      <c r="Y120" s="223"/>
      <c r="Z120" s="223"/>
      <c r="AA120" s="195"/>
      <c r="AB120" s="195"/>
      <c r="AC120" s="195"/>
      <c r="AD120" s="195"/>
      <c r="AE120" s="192"/>
      <c r="AF120" s="195"/>
      <c r="AG120" s="195"/>
      <c r="AH120" s="195"/>
      <c r="AI120" s="195"/>
      <c r="AJ120" s="195"/>
      <c r="AK120" s="179"/>
      <c r="AL120" s="179"/>
      <c r="AM120" s="179"/>
      <c r="AN120" s="179"/>
      <c r="AO120" s="179"/>
      <c r="AP120" s="30"/>
      <c r="AQ120" s="75"/>
      <c r="AR120" s="2"/>
      <c r="AS120" s="1" t="str">
        <f t="shared" si="13"/>
        <v/>
      </c>
    </row>
    <row r="121" spans="2:45" x14ac:dyDescent="0.2">
      <c r="B121" s="8">
        <f t="shared" si="14"/>
        <v>100</v>
      </c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214"/>
      <c r="P121" s="214"/>
      <c r="Q121" s="214"/>
      <c r="R121" s="217"/>
      <c r="S121" s="217"/>
      <c r="T121" s="217"/>
      <c r="U121" s="220"/>
      <c r="V121" s="220"/>
      <c r="W121" s="220"/>
      <c r="X121" s="223"/>
      <c r="Y121" s="223"/>
      <c r="Z121" s="223"/>
      <c r="AA121" s="195"/>
      <c r="AB121" s="195"/>
      <c r="AC121" s="195"/>
      <c r="AD121" s="195"/>
      <c r="AE121" s="192"/>
      <c r="AF121" s="195"/>
      <c r="AG121" s="195"/>
      <c r="AH121" s="195"/>
      <c r="AI121" s="195"/>
      <c r="AJ121" s="195"/>
      <c r="AK121" s="179"/>
      <c r="AL121" s="179"/>
      <c r="AM121" s="179"/>
      <c r="AN121" s="179"/>
      <c r="AO121" s="179"/>
      <c r="AP121" s="30"/>
      <c r="AQ121" s="75"/>
      <c r="AR121" s="2"/>
      <c r="AS121" s="1" t="str">
        <f t="shared" si="13"/>
        <v/>
      </c>
    </row>
    <row r="122" spans="2:45" x14ac:dyDescent="0.2">
      <c r="B122" s="8">
        <f t="shared" si="14"/>
        <v>101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214"/>
      <c r="P122" s="214"/>
      <c r="Q122" s="214"/>
      <c r="R122" s="217"/>
      <c r="S122" s="217"/>
      <c r="T122" s="217"/>
      <c r="U122" s="220"/>
      <c r="V122" s="220"/>
      <c r="W122" s="220"/>
      <c r="X122" s="223"/>
      <c r="Y122" s="223"/>
      <c r="Z122" s="223"/>
      <c r="AA122" s="195"/>
      <c r="AB122" s="195"/>
      <c r="AC122" s="195"/>
      <c r="AD122" s="195"/>
      <c r="AE122" s="192"/>
      <c r="AF122" s="195"/>
      <c r="AG122" s="195"/>
      <c r="AH122" s="195"/>
      <c r="AI122" s="195"/>
      <c r="AJ122" s="195"/>
      <c r="AK122" s="179"/>
      <c r="AL122" s="179"/>
      <c r="AM122" s="179"/>
      <c r="AN122" s="179"/>
      <c r="AO122" s="179"/>
      <c r="AP122" s="30"/>
      <c r="AQ122" s="75"/>
      <c r="AR122" s="2"/>
      <c r="AS122" s="1" t="str">
        <f t="shared" si="13"/>
        <v/>
      </c>
    </row>
    <row r="123" spans="2:45" x14ac:dyDescent="0.2">
      <c r="B123" s="8">
        <f t="shared" si="14"/>
        <v>102</v>
      </c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214"/>
      <c r="P123" s="214"/>
      <c r="Q123" s="214"/>
      <c r="R123" s="217"/>
      <c r="S123" s="217"/>
      <c r="T123" s="217"/>
      <c r="U123" s="220"/>
      <c r="V123" s="220"/>
      <c r="W123" s="220"/>
      <c r="X123" s="223"/>
      <c r="Y123" s="223"/>
      <c r="Z123" s="223"/>
      <c r="AA123" s="195"/>
      <c r="AB123" s="195"/>
      <c r="AC123" s="195"/>
      <c r="AD123" s="195"/>
      <c r="AE123" s="192"/>
      <c r="AF123" s="195"/>
      <c r="AG123" s="195"/>
      <c r="AH123" s="195"/>
      <c r="AI123" s="195"/>
      <c r="AJ123" s="195"/>
      <c r="AK123" s="179"/>
      <c r="AL123" s="179"/>
      <c r="AM123" s="179"/>
      <c r="AN123" s="179"/>
      <c r="AO123" s="179"/>
      <c r="AP123" s="30"/>
      <c r="AQ123" s="75"/>
      <c r="AR123" s="2"/>
      <c r="AS123" s="1" t="str">
        <f t="shared" si="13"/>
        <v/>
      </c>
    </row>
    <row r="124" spans="2:45" x14ac:dyDescent="0.2">
      <c r="B124" s="8">
        <f t="shared" si="14"/>
        <v>103</v>
      </c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214"/>
      <c r="P124" s="214"/>
      <c r="Q124" s="214"/>
      <c r="R124" s="217"/>
      <c r="S124" s="217"/>
      <c r="T124" s="217"/>
      <c r="U124" s="220"/>
      <c r="V124" s="220"/>
      <c r="W124" s="220"/>
      <c r="X124" s="223"/>
      <c r="Y124" s="223"/>
      <c r="Z124" s="223"/>
      <c r="AA124" s="195"/>
      <c r="AB124" s="195"/>
      <c r="AC124" s="195"/>
      <c r="AD124" s="195"/>
      <c r="AE124" s="192"/>
      <c r="AF124" s="195"/>
      <c r="AG124" s="195"/>
      <c r="AH124" s="195"/>
      <c r="AI124" s="195"/>
      <c r="AJ124" s="195"/>
      <c r="AK124" s="179"/>
      <c r="AL124" s="179"/>
      <c r="AM124" s="179"/>
      <c r="AN124" s="179"/>
      <c r="AO124" s="179"/>
      <c r="AP124" s="30"/>
      <c r="AQ124" s="75"/>
      <c r="AR124" s="2"/>
      <c r="AS124" s="1" t="str">
        <f t="shared" si="13"/>
        <v/>
      </c>
    </row>
    <row r="125" spans="2:45" x14ac:dyDescent="0.2">
      <c r="B125" s="8">
        <f t="shared" si="14"/>
        <v>104</v>
      </c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214"/>
      <c r="P125" s="214"/>
      <c r="Q125" s="214"/>
      <c r="R125" s="217"/>
      <c r="S125" s="217"/>
      <c r="T125" s="217"/>
      <c r="U125" s="220"/>
      <c r="V125" s="220"/>
      <c r="W125" s="220"/>
      <c r="X125" s="223"/>
      <c r="Y125" s="223"/>
      <c r="Z125" s="223"/>
      <c r="AA125" s="195"/>
      <c r="AB125" s="195"/>
      <c r="AC125" s="195"/>
      <c r="AD125" s="195"/>
      <c r="AE125" s="192"/>
      <c r="AF125" s="195"/>
      <c r="AG125" s="195"/>
      <c r="AH125" s="195"/>
      <c r="AI125" s="195"/>
      <c r="AJ125" s="195"/>
      <c r="AK125" s="179"/>
      <c r="AL125" s="179"/>
      <c r="AM125" s="179"/>
      <c r="AN125" s="179"/>
      <c r="AO125" s="179"/>
      <c r="AP125" s="30"/>
      <c r="AQ125" s="75"/>
      <c r="AR125" s="2"/>
      <c r="AS125" s="1" t="str">
        <f t="shared" si="13"/>
        <v/>
      </c>
    </row>
    <row r="126" spans="2:45" x14ac:dyDescent="0.2">
      <c r="B126" s="8">
        <f t="shared" si="14"/>
        <v>105</v>
      </c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214"/>
      <c r="P126" s="214"/>
      <c r="Q126" s="214"/>
      <c r="R126" s="217"/>
      <c r="S126" s="217"/>
      <c r="T126" s="217"/>
      <c r="U126" s="220"/>
      <c r="V126" s="220"/>
      <c r="W126" s="220"/>
      <c r="X126" s="223"/>
      <c r="Y126" s="223"/>
      <c r="Z126" s="223"/>
      <c r="AA126" s="195"/>
      <c r="AB126" s="195"/>
      <c r="AC126" s="195"/>
      <c r="AD126" s="195"/>
      <c r="AE126" s="192"/>
      <c r="AF126" s="195"/>
      <c r="AG126" s="195"/>
      <c r="AH126" s="195"/>
      <c r="AI126" s="195"/>
      <c r="AJ126" s="195"/>
      <c r="AK126" s="179"/>
      <c r="AL126" s="179"/>
      <c r="AM126" s="179"/>
      <c r="AN126" s="179"/>
      <c r="AO126" s="179"/>
      <c r="AP126" s="30"/>
      <c r="AQ126" s="75"/>
      <c r="AR126" s="2"/>
      <c r="AS126" s="1" t="str">
        <f t="shared" si="13"/>
        <v/>
      </c>
    </row>
    <row r="127" spans="2:45" x14ac:dyDescent="0.2">
      <c r="B127" s="8">
        <f t="shared" si="14"/>
        <v>106</v>
      </c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214"/>
      <c r="P127" s="214"/>
      <c r="Q127" s="214"/>
      <c r="R127" s="217"/>
      <c r="S127" s="217"/>
      <c r="T127" s="217"/>
      <c r="U127" s="220"/>
      <c r="V127" s="220"/>
      <c r="W127" s="220"/>
      <c r="X127" s="223"/>
      <c r="Y127" s="223"/>
      <c r="Z127" s="223"/>
      <c r="AA127" s="195"/>
      <c r="AB127" s="195"/>
      <c r="AC127" s="195"/>
      <c r="AD127" s="195"/>
      <c r="AE127" s="192"/>
      <c r="AF127" s="195"/>
      <c r="AG127" s="195"/>
      <c r="AH127" s="195"/>
      <c r="AI127" s="195"/>
      <c r="AJ127" s="195"/>
      <c r="AK127" s="179"/>
      <c r="AL127" s="179"/>
      <c r="AM127" s="179"/>
      <c r="AN127" s="179"/>
      <c r="AO127" s="179"/>
      <c r="AP127" s="30"/>
      <c r="AQ127" s="75"/>
      <c r="AR127" s="2"/>
      <c r="AS127" s="1" t="str">
        <f t="shared" si="13"/>
        <v/>
      </c>
    </row>
    <row r="128" spans="2:45" x14ac:dyDescent="0.2">
      <c r="B128" s="8">
        <f t="shared" si="14"/>
        <v>107</v>
      </c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214"/>
      <c r="P128" s="214"/>
      <c r="Q128" s="214"/>
      <c r="R128" s="217"/>
      <c r="S128" s="217"/>
      <c r="T128" s="217"/>
      <c r="U128" s="220"/>
      <c r="V128" s="220"/>
      <c r="W128" s="220"/>
      <c r="X128" s="223"/>
      <c r="Y128" s="223"/>
      <c r="Z128" s="223"/>
      <c r="AA128" s="195"/>
      <c r="AB128" s="195"/>
      <c r="AC128" s="195"/>
      <c r="AD128" s="195"/>
      <c r="AE128" s="192"/>
      <c r="AF128" s="195"/>
      <c r="AG128" s="195"/>
      <c r="AH128" s="195"/>
      <c r="AI128" s="195"/>
      <c r="AJ128" s="195"/>
      <c r="AK128" s="179"/>
      <c r="AL128" s="179"/>
      <c r="AM128" s="179"/>
      <c r="AN128" s="179"/>
      <c r="AO128" s="179"/>
      <c r="AP128" s="30"/>
      <c r="AQ128" s="75"/>
      <c r="AR128" s="2"/>
      <c r="AS128" s="1" t="str">
        <f t="shared" si="13"/>
        <v/>
      </c>
    </row>
    <row r="129" spans="2:45" x14ac:dyDescent="0.2">
      <c r="B129" s="8">
        <f t="shared" si="14"/>
        <v>108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214"/>
      <c r="P129" s="214"/>
      <c r="Q129" s="214"/>
      <c r="R129" s="217"/>
      <c r="S129" s="217"/>
      <c r="T129" s="217"/>
      <c r="U129" s="220"/>
      <c r="V129" s="220"/>
      <c r="W129" s="220"/>
      <c r="X129" s="223"/>
      <c r="Y129" s="223"/>
      <c r="Z129" s="223"/>
      <c r="AA129" s="195"/>
      <c r="AB129" s="195"/>
      <c r="AC129" s="195"/>
      <c r="AD129" s="195"/>
      <c r="AE129" s="192"/>
      <c r="AF129" s="195"/>
      <c r="AG129" s="195"/>
      <c r="AH129" s="195"/>
      <c r="AI129" s="195"/>
      <c r="AJ129" s="195"/>
      <c r="AK129" s="179"/>
      <c r="AL129" s="179"/>
      <c r="AM129" s="179"/>
      <c r="AN129" s="179"/>
      <c r="AO129" s="179"/>
      <c r="AP129" s="30"/>
      <c r="AQ129" s="75"/>
      <c r="AR129" s="2"/>
      <c r="AS129" s="1" t="str">
        <f t="shared" si="13"/>
        <v/>
      </c>
    </row>
    <row r="130" spans="2:45" x14ac:dyDescent="0.2">
      <c r="B130" s="8">
        <f t="shared" si="14"/>
        <v>109</v>
      </c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214"/>
      <c r="P130" s="214"/>
      <c r="Q130" s="214"/>
      <c r="R130" s="217"/>
      <c r="S130" s="217"/>
      <c r="T130" s="217"/>
      <c r="U130" s="220"/>
      <c r="V130" s="220"/>
      <c r="W130" s="220"/>
      <c r="X130" s="223"/>
      <c r="Y130" s="223"/>
      <c r="Z130" s="223"/>
      <c r="AA130" s="195"/>
      <c r="AB130" s="195"/>
      <c r="AC130" s="195"/>
      <c r="AD130" s="195"/>
      <c r="AE130" s="192"/>
      <c r="AF130" s="195"/>
      <c r="AG130" s="195"/>
      <c r="AH130" s="195"/>
      <c r="AI130" s="195"/>
      <c r="AJ130" s="195"/>
      <c r="AK130" s="179"/>
      <c r="AL130" s="179"/>
      <c r="AM130" s="179"/>
      <c r="AN130" s="179"/>
      <c r="AO130" s="179"/>
      <c r="AP130" s="30"/>
      <c r="AQ130" s="75"/>
      <c r="AR130" s="2"/>
      <c r="AS130" s="1" t="str">
        <f t="shared" si="13"/>
        <v/>
      </c>
    </row>
    <row r="131" spans="2:45" x14ac:dyDescent="0.2">
      <c r="B131" s="8">
        <f t="shared" si="14"/>
        <v>110</v>
      </c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214"/>
      <c r="P131" s="214"/>
      <c r="Q131" s="214"/>
      <c r="R131" s="217"/>
      <c r="S131" s="217"/>
      <c r="T131" s="217"/>
      <c r="U131" s="220"/>
      <c r="V131" s="220"/>
      <c r="W131" s="220"/>
      <c r="X131" s="223"/>
      <c r="Y131" s="223"/>
      <c r="Z131" s="223"/>
      <c r="AA131" s="195"/>
      <c r="AB131" s="195"/>
      <c r="AC131" s="195"/>
      <c r="AD131" s="195"/>
      <c r="AE131" s="192"/>
      <c r="AF131" s="195"/>
      <c r="AG131" s="195"/>
      <c r="AH131" s="195"/>
      <c r="AI131" s="195"/>
      <c r="AJ131" s="195"/>
      <c r="AK131" s="179"/>
      <c r="AL131" s="179"/>
      <c r="AM131" s="179"/>
      <c r="AN131" s="179"/>
      <c r="AO131" s="179"/>
      <c r="AP131" s="30"/>
      <c r="AQ131" s="75"/>
      <c r="AR131" s="2"/>
      <c r="AS131" s="1" t="str">
        <f t="shared" si="13"/>
        <v/>
      </c>
    </row>
    <row r="132" spans="2:45" x14ac:dyDescent="0.2">
      <c r="B132" s="8">
        <f t="shared" si="14"/>
        <v>111</v>
      </c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214"/>
      <c r="P132" s="214"/>
      <c r="Q132" s="214"/>
      <c r="R132" s="217"/>
      <c r="S132" s="217"/>
      <c r="T132" s="217"/>
      <c r="U132" s="220"/>
      <c r="V132" s="220"/>
      <c r="W132" s="220"/>
      <c r="X132" s="223"/>
      <c r="Y132" s="223"/>
      <c r="Z132" s="223"/>
      <c r="AA132" s="195"/>
      <c r="AB132" s="195"/>
      <c r="AC132" s="195"/>
      <c r="AD132" s="195"/>
      <c r="AE132" s="192"/>
      <c r="AF132" s="195"/>
      <c r="AG132" s="195"/>
      <c r="AH132" s="195"/>
      <c r="AI132" s="195"/>
      <c r="AJ132" s="195"/>
      <c r="AK132" s="179"/>
      <c r="AL132" s="179"/>
      <c r="AM132" s="179"/>
      <c r="AN132" s="179"/>
      <c r="AO132" s="179"/>
      <c r="AP132" s="30"/>
      <c r="AQ132" s="75"/>
      <c r="AR132" s="2"/>
      <c r="AS132" s="1" t="str">
        <f t="shared" si="13"/>
        <v/>
      </c>
    </row>
    <row r="133" spans="2:45" x14ac:dyDescent="0.2">
      <c r="B133" s="8">
        <f t="shared" si="14"/>
        <v>112</v>
      </c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179"/>
      <c r="AL133" s="179"/>
      <c r="AM133" s="179"/>
      <c r="AN133" s="179"/>
      <c r="AO133" s="179"/>
      <c r="AP133" s="30"/>
      <c r="AQ133" s="75"/>
      <c r="AR133" s="2"/>
      <c r="AS133" s="1" t="str">
        <f t="shared" si="13"/>
        <v/>
      </c>
    </row>
    <row r="134" spans="2:45" x14ac:dyDescent="0.2">
      <c r="B134" s="8">
        <f t="shared" si="14"/>
        <v>113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179"/>
      <c r="AL134" s="179"/>
      <c r="AM134" s="179"/>
      <c r="AN134" s="179"/>
      <c r="AO134" s="179"/>
      <c r="AP134" s="30"/>
      <c r="AQ134" s="75"/>
      <c r="AR134" s="2"/>
      <c r="AS134" s="1" t="str">
        <f t="shared" si="13"/>
        <v/>
      </c>
    </row>
    <row r="135" spans="2:45" x14ac:dyDescent="0.2">
      <c r="B135" s="8">
        <f t="shared" si="14"/>
        <v>114</v>
      </c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179"/>
      <c r="AL135" s="179"/>
      <c r="AM135" s="179"/>
      <c r="AN135" s="179"/>
      <c r="AO135" s="179"/>
      <c r="AP135" s="30"/>
      <c r="AQ135" s="75"/>
      <c r="AR135" s="2"/>
      <c r="AS135" s="1" t="str">
        <f t="shared" si="13"/>
        <v/>
      </c>
    </row>
    <row r="136" spans="2:45" x14ac:dyDescent="0.2">
      <c r="B136" s="8">
        <f t="shared" si="14"/>
        <v>115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179"/>
      <c r="AL136" s="179"/>
      <c r="AM136" s="179"/>
      <c r="AN136" s="179"/>
      <c r="AO136" s="179"/>
      <c r="AP136" s="30"/>
      <c r="AQ136" s="75"/>
      <c r="AR136" s="2"/>
      <c r="AS136" s="1" t="str">
        <f t="shared" si="13"/>
        <v/>
      </c>
    </row>
    <row r="137" spans="2:45" x14ac:dyDescent="0.2">
      <c r="B137" s="8">
        <f t="shared" si="14"/>
        <v>116</v>
      </c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179"/>
      <c r="AL137" s="179"/>
      <c r="AM137" s="179"/>
      <c r="AN137" s="179"/>
      <c r="AO137" s="179"/>
      <c r="AP137" s="30"/>
      <c r="AQ137" s="75"/>
      <c r="AR137" s="2"/>
      <c r="AS137" s="1" t="str">
        <f t="shared" si="13"/>
        <v/>
      </c>
    </row>
    <row r="138" spans="2:45" x14ac:dyDescent="0.2">
      <c r="B138" s="8">
        <f t="shared" si="14"/>
        <v>117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179"/>
      <c r="AL138" s="179"/>
      <c r="AM138" s="179"/>
      <c r="AN138" s="179"/>
      <c r="AO138" s="179"/>
      <c r="AP138" s="30"/>
      <c r="AQ138" s="75"/>
      <c r="AR138" s="2"/>
      <c r="AS138" s="1" t="str">
        <f t="shared" si="13"/>
        <v/>
      </c>
    </row>
    <row r="139" spans="2:45" x14ac:dyDescent="0.2">
      <c r="B139" s="8">
        <f t="shared" si="14"/>
        <v>118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179"/>
      <c r="AL139" s="179"/>
      <c r="AM139" s="179"/>
      <c r="AN139" s="179"/>
      <c r="AO139" s="179"/>
      <c r="AP139" s="30"/>
      <c r="AQ139" s="75"/>
      <c r="AR139" s="2"/>
      <c r="AS139" s="1" t="str">
        <f t="shared" si="13"/>
        <v/>
      </c>
    </row>
    <row r="140" spans="2:45" x14ac:dyDescent="0.2">
      <c r="B140" s="8">
        <f t="shared" si="14"/>
        <v>119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179"/>
      <c r="AL140" s="179"/>
      <c r="AM140" s="179"/>
      <c r="AN140" s="179"/>
      <c r="AO140" s="179"/>
      <c r="AP140" s="30"/>
      <c r="AQ140" s="75"/>
      <c r="AR140" s="2"/>
      <c r="AS140" s="1" t="str">
        <f t="shared" si="13"/>
        <v/>
      </c>
    </row>
    <row r="141" spans="2:45" x14ac:dyDescent="0.2">
      <c r="B141" s="8">
        <f t="shared" si="14"/>
        <v>120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179"/>
      <c r="AL141" s="179"/>
      <c r="AM141" s="179"/>
      <c r="AN141" s="179"/>
      <c r="AO141" s="179"/>
      <c r="AP141" s="30"/>
      <c r="AQ141" s="75"/>
      <c r="AR141" s="2"/>
      <c r="AS141" s="1" t="str">
        <f t="shared" si="13"/>
        <v/>
      </c>
    </row>
    <row r="142" spans="2:45" x14ac:dyDescent="0.2">
      <c r="B142" s="8">
        <f t="shared" si="14"/>
        <v>121</v>
      </c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179"/>
      <c r="AL142" s="179"/>
      <c r="AM142" s="179"/>
      <c r="AN142" s="179"/>
      <c r="AO142" s="179"/>
      <c r="AP142" s="30"/>
      <c r="AQ142" s="75"/>
      <c r="AR142" s="2"/>
      <c r="AS142" s="1" t="str">
        <f t="shared" si="13"/>
        <v/>
      </c>
    </row>
    <row r="143" spans="2:45" x14ac:dyDescent="0.2">
      <c r="B143" s="8">
        <f t="shared" si="14"/>
        <v>122</v>
      </c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179"/>
      <c r="AL143" s="179"/>
      <c r="AM143" s="179"/>
      <c r="AN143" s="179"/>
      <c r="AO143" s="179"/>
      <c r="AP143" s="30"/>
      <c r="AQ143" s="75"/>
      <c r="AR143" s="2"/>
      <c r="AS143" s="1" t="str">
        <f t="shared" si="13"/>
        <v/>
      </c>
    </row>
    <row r="144" spans="2:45" x14ac:dyDescent="0.2">
      <c r="B144" s="8">
        <f t="shared" si="14"/>
        <v>123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179"/>
      <c r="AL144" s="179"/>
      <c r="AM144" s="179"/>
      <c r="AN144" s="179"/>
      <c r="AO144" s="179"/>
      <c r="AP144" s="30"/>
      <c r="AQ144" s="75"/>
      <c r="AR144" s="2"/>
      <c r="AS144" s="1" t="str">
        <f t="shared" si="13"/>
        <v/>
      </c>
    </row>
    <row r="145" spans="2:45" x14ac:dyDescent="0.2">
      <c r="B145" s="8">
        <f t="shared" si="14"/>
        <v>124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179"/>
      <c r="AL145" s="179"/>
      <c r="AM145" s="179"/>
      <c r="AN145" s="179"/>
      <c r="AO145" s="179"/>
      <c r="AP145" s="30"/>
      <c r="AQ145" s="75"/>
      <c r="AR145" s="2"/>
      <c r="AS145" s="1" t="str">
        <f t="shared" si="13"/>
        <v/>
      </c>
    </row>
    <row r="146" spans="2:45" x14ac:dyDescent="0.2">
      <c r="B146" s="8">
        <f t="shared" si="14"/>
        <v>125</v>
      </c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179"/>
      <c r="AL146" s="179"/>
      <c r="AM146" s="179"/>
      <c r="AN146" s="179"/>
      <c r="AO146" s="179"/>
      <c r="AP146" s="30"/>
      <c r="AQ146" s="75"/>
      <c r="AR146" s="2"/>
      <c r="AS146" s="1" t="str">
        <f t="shared" si="13"/>
        <v/>
      </c>
    </row>
    <row r="147" spans="2:45" x14ac:dyDescent="0.2">
      <c r="B147" s="8">
        <f t="shared" si="14"/>
        <v>126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179"/>
      <c r="AL147" s="179"/>
      <c r="AM147" s="179"/>
      <c r="AN147" s="179"/>
      <c r="AO147" s="179"/>
      <c r="AP147" s="30"/>
      <c r="AQ147" s="75"/>
      <c r="AR147" s="2"/>
      <c r="AS147" s="1" t="str">
        <f t="shared" si="13"/>
        <v/>
      </c>
    </row>
    <row r="148" spans="2:45" x14ac:dyDescent="0.2">
      <c r="B148" s="8">
        <f t="shared" si="14"/>
        <v>127</v>
      </c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179"/>
      <c r="AL148" s="179"/>
      <c r="AM148" s="179"/>
      <c r="AN148" s="179"/>
      <c r="AO148" s="179"/>
      <c r="AP148" s="30"/>
      <c r="AQ148" s="75"/>
      <c r="AR148" s="2"/>
      <c r="AS148" s="1" t="str">
        <f t="shared" si="13"/>
        <v/>
      </c>
    </row>
    <row r="149" spans="2:45" x14ac:dyDescent="0.2">
      <c r="B149" s="8">
        <f t="shared" si="14"/>
        <v>128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179"/>
      <c r="AL149" s="179"/>
      <c r="AM149" s="179"/>
      <c r="AN149" s="179"/>
      <c r="AO149" s="179"/>
      <c r="AP149" s="30"/>
      <c r="AQ149" s="75"/>
      <c r="AR149" s="2"/>
      <c r="AS149" s="1" t="str">
        <f t="shared" si="13"/>
        <v/>
      </c>
    </row>
    <row r="150" spans="2:45" x14ac:dyDescent="0.2">
      <c r="B150" s="8">
        <f t="shared" si="14"/>
        <v>129</v>
      </c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179"/>
      <c r="AL150" s="179"/>
      <c r="AM150" s="179"/>
      <c r="AN150" s="179"/>
      <c r="AO150" s="179"/>
      <c r="AP150" s="30"/>
      <c r="AQ150" s="75"/>
      <c r="AR150" s="2"/>
      <c r="AS150" s="1" t="str">
        <f t="shared" ref="AS150:AS213" si="15">IF(COUNT(C150:AH150)&gt;0,B150,"")</f>
        <v/>
      </c>
    </row>
    <row r="151" spans="2:45" x14ac:dyDescent="0.2">
      <c r="B151" s="8">
        <f t="shared" ref="B151:B214" si="16">ROW()-ROW(B$21)</f>
        <v>130</v>
      </c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179"/>
      <c r="AL151" s="179"/>
      <c r="AM151" s="179"/>
      <c r="AN151" s="179"/>
      <c r="AO151" s="179"/>
      <c r="AP151" s="30"/>
      <c r="AQ151" s="75"/>
      <c r="AR151" s="2"/>
      <c r="AS151" s="1" t="str">
        <f t="shared" si="15"/>
        <v/>
      </c>
    </row>
    <row r="152" spans="2:45" x14ac:dyDescent="0.2">
      <c r="B152" s="8">
        <f t="shared" si="16"/>
        <v>131</v>
      </c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179"/>
      <c r="AL152" s="179"/>
      <c r="AM152" s="179"/>
      <c r="AN152" s="179"/>
      <c r="AO152" s="179"/>
      <c r="AP152" s="30"/>
      <c r="AQ152" s="75"/>
      <c r="AR152" s="2"/>
      <c r="AS152" s="1" t="str">
        <f t="shared" si="15"/>
        <v/>
      </c>
    </row>
    <row r="153" spans="2:45" x14ac:dyDescent="0.2">
      <c r="B153" s="8">
        <f t="shared" si="16"/>
        <v>132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179"/>
      <c r="AL153" s="179"/>
      <c r="AM153" s="179"/>
      <c r="AN153" s="179"/>
      <c r="AO153" s="179"/>
      <c r="AP153" s="30"/>
      <c r="AQ153" s="75"/>
      <c r="AR153" s="2"/>
      <c r="AS153" s="1" t="str">
        <f t="shared" si="15"/>
        <v/>
      </c>
    </row>
    <row r="154" spans="2:45" x14ac:dyDescent="0.2">
      <c r="B154" s="8">
        <f t="shared" si="16"/>
        <v>133</v>
      </c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179"/>
      <c r="AL154" s="179"/>
      <c r="AM154" s="179"/>
      <c r="AN154" s="179"/>
      <c r="AO154" s="179"/>
      <c r="AP154" s="30"/>
      <c r="AQ154" s="75"/>
      <c r="AR154" s="2"/>
      <c r="AS154" s="1" t="str">
        <f t="shared" si="15"/>
        <v/>
      </c>
    </row>
    <row r="155" spans="2:45" x14ac:dyDescent="0.2">
      <c r="B155" s="8">
        <f t="shared" si="16"/>
        <v>134</v>
      </c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179"/>
      <c r="AL155" s="179"/>
      <c r="AM155" s="179"/>
      <c r="AN155" s="179"/>
      <c r="AO155" s="179"/>
      <c r="AP155" s="30"/>
      <c r="AQ155" s="75"/>
      <c r="AR155" s="2"/>
      <c r="AS155" s="1" t="str">
        <f t="shared" si="15"/>
        <v/>
      </c>
    </row>
    <row r="156" spans="2:45" x14ac:dyDescent="0.2">
      <c r="B156" s="8">
        <f t="shared" si="16"/>
        <v>135</v>
      </c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179"/>
      <c r="AL156" s="179"/>
      <c r="AM156" s="179"/>
      <c r="AN156" s="179"/>
      <c r="AO156" s="179"/>
      <c r="AP156" s="30"/>
      <c r="AQ156" s="75"/>
      <c r="AR156" s="2"/>
      <c r="AS156" s="1" t="str">
        <f t="shared" si="15"/>
        <v/>
      </c>
    </row>
    <row r="157" spans="2:45" x14ac:dyDescent="0.2">
      <c r="B157" s="8">
        <f t="shared" si="16"/>
        <v>136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179"/>
      <c r="AL157" s="179"/>
      <c r="AM157" s="179"/>
      <c r="AN157" s="179"/>
      <c r="AO157" s="179"/>
      <c r="AP157" s="30"/>
      <c r="AQ157" s="75"/>
      <c r="AR157" s="2"/>
      <c r="AS157" s="1" t="str">
        <f t="shared" si="15"/>
        <v/>
      </c>
    </row>
    <row r="158" spans="2:45" x14ac:dyDescent="0.2">
      <c r="B158" s="8">
        <f t="shared" si="16"/>
        <v>137</v>
      </c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179"/>
      <c r="AL158" s="179"/>
      <c r="AM158" s="179"/>
      <c r="AN158" s="179"/>
      <c r="AO158" s="179"/>
      <c r="AP158" s="30"/>
      <c r="AQ158" s="75"/>
      <c r="AR158" s="2"/>
      <c r="AS158" s="1" t="str">
        <f t="shared" si="15"/>
        <v/>
      </c>
    </row>
    <row r="159" spans="2:45" x14ac:dyDescent="0.2">
      <c r="B159" s="8">
        <f t="shared" si="16"/>
        <v>138</v>
      </c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179"/>
      <c r="AL159" s="179"/>
      <c r="AM159" s="179"/>
      <c r="AN159" s="179"/>
      <c r="AO159" s="179"/>
      <c r="AP159" s="30"/>
      <c r="AQ159" s="75"/>
      <c r="AR159" s="2"/>
      <c r="AS159" s="1" t="str">
        <f t="shared" si="15"/>
        <v/>
      </c>
    </row>
    <row r="160" spans="2:45" x14ac:dyDescent="0.2">
      <c r="B160" s="8">
        <f t="shared" si="16"/>
        <v>139</v>
      </c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179"/>
      <c r="AL160" s="179"/>
      <c r="AM160" s="179"/>
      <c r="AN160" s="179"/>
      <c r="AO160" s="179"/>
      <c r="AP160" s="30"/>
      <c r="AQ160" s="75"/>
      <c r="AR160" s="2"/>
      <c r="AS160" s="1" t="str">
        <f t="shared" si="15"/>
        <v/>
      </c>
    </row>
    <row r="161" spans="2:45" x14ac:dyDescent="0.2">
      <c r="B161" s="8">
        <f t="shared" si="16"/>
        <v>140</v>
      </c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179"/>
      <c r="AL161" s="179"/>
      <c r="AM161" s="179"/>
      <c r="AN161" s="179"/>
      <c r="AO161" s="179"/>
      <c r="AP161" s="30"/>
      <c r="AQ161" s="75"/>
      <c r="AR161" s="2"/>
      <c r="AS161" s="1" t="str">
        <f t="shared" si="15"/>
        <v/>
      </c>
    </row>
    <row r="162" spans="2:45" x14ac:dyDescent="0.2">
      <c r="B162" s="8">
        <f t="shared" si="16"/>
        <v>141</v>
      </c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179"/>
      <c r="AL162" s="179"/>
      <c r="AM162" s="179"/>
      <c r="AN162" s="179"/>
      <c r="AO162" s="179"/>
      <c r="AP162" s="30"/>
      <c r="AQ162" s="75"/>
      <c r="AR162" s="2"/>
      <c r="AS162" s="1" t="str">
        <f t="shared" si="15"/>
        <v/>
      </c>
    </row>
    <row r="163" spans="2:45" x14ac:dyDescent="0.2">
      <c r="B163" s="8">
        <f t="shared" si="16"/>
        <v>142</v>
      </c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179"/>
      <c r="AL163" s="179"/>
      <c r="AM163" s="179"/>
      <c r="AN163" s="179"/>
      <c r="AO163" s="179"/>
      <c r="AP163" s="30"/>
      <c r="AQ163" s="75"/>
      <c r="AR163" s="2"/>
      <c r="AS163" s="1" t="str">
        <f t="shared" si="15"/>
        <v/>
      </c>
    </row>
    <row r="164" spans="2:45" x14ac:dyDescent="0.2">
      <c r="B164" s="8">
        <f t="shared" si="16"/>
        <v>143</v>
      </c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179"/>
      <c r="AL164" s="179"/>
      <c r="AM164" s="179"/>
      <c r="AN164" s="179"/>
      <c r="AO164" s="179"/>
      <c r="AP164" s="30"/>
      <c r="AQ164" s="75"/>
      <c r="AR164" s="2"/>
      <c r="AS164" s="1" t="str">
        <f t="shared" si="15"/>
        <v/>
      </c>
    </row>
    <row r="165" spans="2:45" x14ac:dyDescent="0.2">
      <c r="B165" s="8">
        <f t="shared" si="16"/>
        <v>144</v>
      </c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179"/>
      <c r="AL165" s="179"/>
      <c r="AM165" s="179"/>
      <c r="AN165" s="179"/>
      <c r="AO165" s="179"/>
      <c r="AP165" s="30"/>
      <c r="AQ165" s="75"/>
      <c r="AR165" s="2"/>
      <c r="AS165" s="1" t="str">
        <f t="shared" si="15"/>
        <v/>
      </c>
    </row>
    <row r="166" spans="2:45" x14ac:dyDescent="0.2">
      <c r="B166" s="8">
        <f t="shared" si="16"/>
        <v>145</v>
      </c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179"/>
      <c r="AL166" s="179"/>
      <c r="AM166" s="179"/>
      <c r="AN166" s="179"/>
      <c r="AO166" s="179"/>
      <c r="AP166" s="30"/>
      <c r="AQ166" s="75"/>
      <c r="AR166" s="2"/>
      <c r="AS166" s="1" t="str">
        <f t="shared" si="15"/>
        <v/>
      </c>
    </row>
    <row r="167" spans="2:45" x14ac:dyDescent="0.2">
      <c r="B167" s="8">
        <f t="shared" si="16"/>
        <v>146</v>
      </c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179"/>
      <c r="AL167" s="179"/>
      <c r="AM167" s="179"/>
      <c r="AN167" s="179"/>
      <c r="AO167" s="179"/>
      <c r="AP167" s="30"/>
      <c r="AQ167" s="75"/>
      <c r="AR167" s="2"/>
      <c r="AS167" s="1" t="str">
        <f t="shared" si="15"/>
        <v/>
      </c>
    </row>
    <row r="168" spans="2:45" x14ac:dyDescent="0.2">
      <c r="B168" s="8">
        <f t="shared" si="16"/>
        <v>147</v>
      </c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179"/>
      <c r="AL168" s="179"/>
      <c r="AM168" s="179"/>
      <c r="AN168" s="179"/>
      <c r="AO168" s="179"/>
      <c r="AP168" s="30"/>
      <c r="AQ168" s="75"/>
      <c r="AR168" s="2"/>
      <c r="AS168" s="1" t="str">
        <f t="shared" si="15"/>
        <v/>
      </c>
    </row>
    <row r="169" spans="2:45" x14ac:dyDescent="0.2">
      <c r="B169" s="8">
        <f t="shared" si="16"/>
        <v>148</v>
      </c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179"/>
      <c r="AL169" s="179"/>
      <c r="AM169" s="179"/>
      <c r="AN169" s="179"/>
      <c r="AO169" s="179"/>
      <c r="AP169" s="30"/>
      <c r="AQ169" s="75"/>
      <c r="AR169" s="2"/>
      <c r="AS169" s="1" t="str">
        <f t="shared" si="15"/>
        <v/>
      </c>
    </row>
    <row r="170" spans="2:45" x14ac:dyDescent="0.2">
      <c r="B170" s="8">
        <f t="shared" si="16"/>
        <v>149</v>
      </c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179"/>
      <c r="AL170" s="179"/>
      <c r="AM170" s="179"/>
      <c r="AN170" s="179"/>
      <c r="AO170" s="179"/>
      <c r="AP170" s="30"/>
      <c r="AQ170" s="75"/>
      <c r="AR170" s="2"/>
      <c r="AS170" s="1" t="str">
        <f t="shared" si="15"/>
        <v/>
      </c>
    </row>
    <row r="171" spans="2:45" x14ac:dyDescent="0.2">
      <c r="B171" s="8">
        <f t="shared" si="16"/>
        <v>150</v>
      </c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179"/>
      <c r="AL171" s="179"/>
      <c r="AM171" s="179"/>
      <c r="AN171" s="179"/>
      <c r="AO171" s="179"/>
      <c r="AP171" s="30"/>
      <c r="AQ171" s="75"/>
      <c r="AR171" s="2"/>
      <c r="AS171" s="1" t="str">
        <f t="shared" si="15"/>
        <v/>
      </c>
    </row>
    <row r="172" spans="2:45" x14ac:dyDescent="0.2">
      <c r="B172" s="8">
        <f t="shared" si="16"/>
        <v>151</v>
      </c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179"/>
      <c r="AL172" s="179"/>
      <c r="AM172" s="179"/>
      <c r="AN172" s="179"/>
      <c r="AO172" s="179"/>
      <c r="AP172" s="30"/>
      <c r="AQ172" s="75"/>
      <c r="AR172" s="2"/>
      <c r="AS172" s="1" t="str">
        <f t="shared" si="15"/>
        <v/>
      </c>
    </row>
    <row r="173" spans="2:45" x14ac:dyDescent="0.2">
      <c r="B173" s="8">
        <f t="shared" si="16"/>
        <v>152</v>
      </c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179"/>
      <c r="AL173" s="179"/>
      <c r="AM173" s="179"/>
      <c r="AN173" s="179"/>
      <c r="AO173" s="179"/>
      <c r="AP173" s="30"/>
      <c r="AQ173" s="75"/>
      <c r="AR173" s="2"/>
      <c r="AS173" s="1" t="str">
        <f t="shared" si="15"/>
        <v/>
      </c>
    </row>
    <row r="174" spans="2:45" x14ac:dyDescent="0.2">
      <c r="B174" s="8">
        <f t="shared" si="16"/>
        <v>153</v>
      </c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179"/>
      <c r="AL174" s="179"/>
      <c r="AM174" s="179"/>
      <c r="AN174" s="179"/>
      <c r="AO174" s="179"/>
      <c r="AP174" s="30"/>
      <c r="AQ174" s="75"/>
      <c r="AR174" s="2"/>
      <c r="AS174" s="1" t="str">
        <f t="shared" si="15"/>
        <v/>
      </c>
    </row>
    <row r="175" spans="2:45" x14ac:dyDescent="0.2">
      <c r="B175" s="8">
        <f t="shared" si="16"/>
        <v>154</v>
      </c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179"/>
      <c r="AL175" s="179"/>
      <c r="AM175" s="179"/>
      <c r="AN175" s="179"/>
      <c r="AO175" s="179"/>
      <c r="AP175" s="30"/>
      <c r="AQ175" s="75"/>
      <c r="AR175" s="2"/>
      <c r="AS175" s="1" t="str">
        <f t="shared" si="15"/>
        <v/>
      </c>
    </row>
    <row r="176" spans="2:45" x14ac:dyDescent="0.2">
      <c r="B176" s="8">
        <f t="shared" si="16"/>
        <v>155</v>
      </c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179"/>
      <c r="AL176" s="179"/>
      <c r="AM176" s="179"/>
      <c r="AN176" s="179"/>
      <c r="AO176" s="179"/>
      <c r="AP176" s="30"/>
      <c r="AQ176" s="75"/>
      <c r="AR176" s="2"/>
      <c r="AS176" s="1" t="str">
        <f t="shared" si="15"/>
        <v/>
      </c>
    </row>
    <row r="177" spans="2:45" x14ac:dyDescent="0.2">
      <c r="B177" s="8">
        <f t="shared" si="16"/>
        <v>156</v>
      </c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179"/>
      <c r="AL177" s="179"/>
      <c r="AM177" s="179"/>
      <c r="AN177" s="179"/>
      <c r="AO177" s="179"/>
      <c r="AP177" s="30"/>
      <c r="AQ177" s="75"/>
      <c r="AR177" s="2"/>
      <c r="AS177" s="1" t="str">
        <f t="shared" si="15"/>
        <v/>
      </c>
    </row>
    <row r="178" spans="2:45" x14ac:dyDescent="0.2">
      <c r="B178" s="8">
        <f t="shared" si="16"/>
        <v>157</v>
      </c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179"/>
      <c r="AL178" s="179"/>
      <c r="AM178" s="179"/>
      <c r="AN178" s="179"/>
      <c r="AO178" s="179"/>
      <c r="AP178" s="30"/>
      <c r="AQ178" s="75"/>
      <c r="AR178" s="2"/>
      <c r="AS178" s="1" t="str">
        <f t="shared" si="15"/>
        <v/>
      </c>
    </row>
    <row r="179" spans="2:45" x14ac:dyDescent="0.2">
      <c r="B179" s="8">
        <f t="shared" si="16"/>
        <v>158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179"/>
      <c r="AL179" s="179"/>
      <c r="AM179" s="179"/>
      <c r="AN179" s="179"/>
      <c r="AO179" s="179"/>
      <c r="AP179" s="30"/>
      <c r="AQ179" s="75"/>
      <c r="AR179" s="2"/>
      <c r="AS179" s="1" t="str">
        <f t="shared" si="15"/>
        <v/>
      </c>
    </row>
    <row r="180" spans="2:45" x14ac:dyDescent="0.2">
      <c r="B180" s="8">
        <f t="shared" si="16"/>
        <v>159</v>
      </c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179"/>
      <c r="AL180" s="179"/>
      <c r="AM180" s="179"/>
      <c r="AN180" s="179"/>
      <c r="AO180" s="179"/>
      <c r="AP180" s="30"/>
      <c r="AQ180" s="75"/>
      <c r="AR180" s="2"/>
      <c r="AS180" s="1" t="str">
        <f t="shared" si="15"/>
        <v/>
      </c>
    </row>
    <row r="181" spans="2:45" x14ac:dyDescent="0.2">
      <c r="B181" s="8">
        <f t="shared" si="16"/>
        <v>160</v>
      </c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179"/>
      <c r="AL181" s="179"/>
      <c r="AM181" s="179"/>
      <c r="AN181" s="179"/>
      <c r="AO181" s="179"/>
      <c r="AP181" s="30"/>
      <c r="AQ181" s="75"/>
      <c r="AR181" s="2"/>
      <c r="AS181" s="1" t="str">
        <f t="shared" si="15"/>
        <v/>
      </c>
    </row>
    <row r="182" spans="2:45" x14ac:dyDescent="0.2">
      <c r="B182" s="8">
        <f t="shared" si="16"/>
        <v>161</v>
      </c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179"/>
      <c r="AL182" s="179"/>
      <c r="AM182" s="179"/>
      <c r="AN182" s="179"/>
      <c r="AO182" s="179"/>
      <c r="AP182" s="30"/>
      <c r="AQ182" s="75"/>
      <c r="AR182" s="2"/>
      <c r="AS182" s="1" t="str">
        <f t="shared" si="15"/>
        <v/>
      </c>
    </row>
    <row r="183" spans="2:45" x14ac:dyDescent="0.2">
      <c r="B183" s="8">
        <f t="shared" si="16"/>
        <v>162</v>
      </c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179"/>
      <c r="AL183" s="179"/>
      <c r="AM183" s="179"/>
      <c r="AN183" s="179"/>
      <c r="AO183" s="179"/>
      <c r="AP183" s="30"/>
      <c r="AQ183" s="75"/>
      <c r="AR183" s="2"/>
      <c r="AS183" s="1" t="str">
        <f t="shared" si="15"/>
        <v/>
      </c>
    </row>
    <row r="184" spans="2:45" x14ac:dyDescent="0.2">
      <c r="B184" s="8">
        <f t="shared" si="16"/>
        <v>163</v>
      </c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179"/>
      <c r="AL184" s="179"/>
      <c r="AM184" s="179"/>
      <c r="AN184" s="179"/>
      <c r="AO184" s="179"/>
      <c r="AP184" s="30"/>
      <c r="AQ184" s="75"/>
      <c r="AR184" s="2"/>
      <c r="AS184" s="1" t="str">
        <f t="shared" si="15"/>
        <v/>
      </c>
    </row>
    <row r="185" spans="2:45" x14ac:dyDescent="0.2">
      <c r="B185" s="8">
        <f t="shared" si="16"/>
        <v>164</v>
      </c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179"/>
      <c r="AL185" s="179"/>
      <c r="AM185" s="179"/>
      <c r="AN185" s="179"/>
      <c r="AO185" s="179"/>
      <c r="AP185" s="30"/>
      <c r="AQ185" s="75"/>
      <c r="AR185" s="2"/>
      <c r="AS185" s="1" t="str">
        <f t="shared" si="15"/>
        <v/>
      </c>
    </row>
    <row r="186" spans="2:45" x14ac:dyDescent="0.2">
      <c r="B186" s="8">
        <f t="shared" si="16"/>
        <v>165</v>
      </c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179"/>
      <c r="AL186" s="179"/>
      <c r="AM186" s="179"/>
      <c r="AN186" s="179"/>
      <c r="AO186" s="179"/>
      <c r="AP186" s="30"/>
      <c r="AQ186" s="75"/>
      <c r="AR186" s="2"/>
      <c r="AS186" s="1" t="str">
        <f t="shared" si="15"/>
        <v/>
      </c>
    </row>
    <row r="187" spans="2:45" x14ac:dyDescent="0.2">
      <c r="B187" s="8">
        <f t="shared" si="16"/>
        <v>166</v>
      </c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179"/>
      <c r="AL187" s="179"/>
      <c r="AM187" s="179"/>
      <c r="AN187" s="179"/>
      <c r="AO187" s="179"/>
      <c r="AP187" s="30"/>
      <c r="AQ187" s="75"/>
      <c r="AR187" s="2"/>
      <c r="AS187" s="1" t="str">
        <f t="shared" si="15"/>
        <v/>
      </c>
    </row>
    <row r="188" spans="2:45" x14ac:dyDescent="0.2">
      <c r="B188" s="8">
        <f t="shared" si="16"/>
        <v>167</v>
      </c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179"/>
      <c r="AL188" s="179"/>
      <c r="AM188" s="179"/>
      <c r="AN188" s="179"/>
      <c r="AO188" s="179"/>
      <c r="AP188" s="30"/>
      <c r="AQ188" s="75"/>
      <c r="AR188" s="2"/>
      <c r="AS188" s="1" t="str">
        <f t="shared" si="15"/>
        <v/>
      </c>
    </row>
    <row r="189" spans="2:45" x14ac:dyDescent="0.2">
      <c r="B189" s="8">
        <f t="shared" si="16"/>
        <v>168</v>
      </c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179"/>
      <c r="AL189" s="179"/>
      <c r="AM189" s="179"/>
      <c r="AN189" s="179"/>
      <c r="AO189" s="179"/>
      <c r="AP189" s="30"/>
      <c r="AQ189" s="75"/>
      <c r="AR189" s="2"/>
      <c r="AS189" s="1" t="str">
        <f t="shared" si="15"/>
        <v/>
      </c>
    </row>
    <row r="190" spans="2:45" x14ac:dyDescent="0.2">
      <c r="B190" s="8">
        <f t="shared" si="16"/>
        <v>169</v>
      </c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179"/>
      <c r="AL190" s="179"/>
      <c r="AM190" s="179"/>
      <c r="AN190" s="179"/>
      <c r="AO190" s="179"/>
      <c r="AP190" s="30"/>
      <c r="AQ190" s="75"/>
      <c r="AR190" s="2"/>
      <c r="AS190" s="1" t="str">
        <f t="shared" si="15"/>
        <v/>
      </c>
    </row>
    <row r="191" spans="2:45" x14ac:dyDescent="0.2">
      <c r="B191" s="8">
        <f t="shared" si="16"/>
        <v>170</v>
      </c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179"/>
      <c r="AL191" s="179"/>
      <c r="AM191" s="179"/>
      <c r="AN191" s="179"/>
      <c r="AO191" s="179"/>
      <c r="AP191" s="30"/>
      <c r="AQ191" s="75"/>
      <c r="AR191" s="2"/>
      <c r="AS191" s="1" t="str">
        <f t="shared" si="15"/>
        <v/>
      </c>
    </row>
    <row r="192" spans="2:45" x14ac:dyDescent="0.2">
      <c r="B192" s="8">
        <f t="shared" si="16"/>
        <v>171</v>
      </c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179"/>
      <c r="AL192" s="179"/>
      <c r="AM192" s="179"/>
      <c r="AN192" s="179"/>
      <c r="AO192" s="179"/>
      <c r="AP192" s="30"/>
      <c r="AQ192" s="75"/>
      <c r="AR192" s="2"/>
      <c r="AS192" s="1" t="str">
        <f t="shared" si="15"/>
        <v/>
      </c>
    </row>
    <row r="193" spans="2:45" x14ac:dyDescent="0.2">
      <c r="B193" s="8">
        <f t="shared" si="16"/>
        <v>172</v>
      </c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179"/>
      <c r="AL193" s="179"/>
      <c r="AM193" s="179"/>
      <c r="AN193" s="179"/>
      <c r="AO193" s="179"/>
      <c r="AP193" s="30"/>
      <c r="AQ193" s="75"/>
      <c r="AR193" s="2"/>
      <c r="AS193" s="1" t="str">
        <f t="shared" si="15"/>
        <v/>
      </c>
    </row>
    <row r="194" spans="2:45" x14ac:dyDescent="0.2">
      <c r="B194" s="8">
        <f t="shared" si="16"/>
        <v>173</v>
      </c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179"/>
      <c r="AL194" s="179"/>
      <c r="AM194" s="179"/>
      <c r="AN194" s="179"/>
      <c r="AO194" s="179"/>
      <c r="AP194" s="30"/>
      <c r="AQ194" s="75"/>
      <c r="AR194" s="2"/>
      <c r="AS194" s="1" t="str">
        <f t="shared" si="15"/>
        <v/>
      </c>
    </row>
    <row r="195" spans="2:45" x14ac:dyDescent="0.2">
      <c r="B195" s="8">
        <f t="shared" si="16"/>
        <v>174</v>
      </c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179"/>
      <c r="AL195" s="179"/>
      <c r="AM195" s="179"/>
      <c r="AN195" s="179"/>
      <c r="AO195" s="179"/>
      <c r="AP195" s="30"/>
      <c r="AQ195" s="75"/>
      <c r="AR195" s="2"/>
      <c r="AS195" s="1" t="str">
        <f t="shared" si="15"/>
        <v/>
      </c>
    </row>
    <row r="196" spans="2:45" x14ac:dyDescent="0.2">
      <c r="B196" s="8">
        <f t="shared" si="16"/>
        <v>175</v>
      </c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179"/>
      <c r="AL196" s="179"/>
      <c r="AM196" s="179"/>
      <c r="AN196" s="179"/>
      <c r="AO196" s="179"/>
      <c r="AP196" s="30"/>
      <c r="AQ196" s="75"/>
      <c r="AR196" s="2"/>
      <c r="AS196" s="1" t="str">
        <f t="shared" si="15"/>
        <v/>
      </c>
    </row>
    <row r="197" spans="2:45" x14ac:dyDescent="0.2">
      <c r="B197" s="8">
        <f t="shared" si="16"/>
        <v>176</v>
      </c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179"/>
      <c r="AL197" s="179"/>
      <c r="AM197" s="179"/>
      <c r="AN197" s="179"/>
      <c r="AO197" s="179"/>
      <c r="AP197" s="30"/>
      <c r="AQ197" s="75"/>
      <c r="AR197" s="2"/>
      <c r="AS197" s="1" t="str">
        <f t="shared" si="15"/>
        <v/>
      </c>
    </row>
    <row r="198" spans="2:45" x14ac:dyDescent="0.2">
      <c r="B198" s="8">
        <f t="shared" si="16"/>
        <v>177</v>
      </c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179"/>
      <c r="AL198" s="179"/>
      <c r="AM198" s="179"/>
      <c r="AN198" s="179"/>
      <c r="AO198" s="179"/>
      <c r="AP198" s="30"/>
      <c r="AQ198" s="75"/>
      <c r="AR198" s="2"/>
      <c r="AS198" s="1" t="str">
        <f t="shared" si="15"/>
        <v/>
      </c>
    </row>
    <row r="199" spans="2:45" x14ac:dyDescent="0.2">
      <c r="B199" s="8">
        <f t="shared" si="16"/>
        <v>178</v>
      </c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179"/>
      <c r="AL199" s="179"/>
      <c r="AM199" s="179"/>
      <c r="AN199" s="179"/>
      <c r="AO199" s="179"/>
      <c r="AP199" s="30"/>
      <c r="AQ199" s="75"/>
      <c r="AR199" s="2"/>
      <c r="AS199" s="1" t="str">
        <f t="shared" si="15"/>
        <v/>
      </c>
    </row>
    <row r="200" spans="2:45" x14ac:dyDescent="0.2">
      <c r="B200" s="8">
        <f t="shared" si="16"/>
        <v>179</v>
      </c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179"/>
      <c r="AL200" s="179"/>
      <c r="AM200" s="179"/>
      <c r="AN200" s="179"/>
      <c r="AO200" s="179"/>
      <c r="AP200" s="30"/>
      <c r="AQ200" s="75"/>
      <c r="AR200" s="2"/>
      <c r="AS200" s="1" t="str">
        <f t="shared" si="15"/>
        <v/>
      </c>
    </row>
    <row r="201" spans="2:45" x14ac:dyDescent="0.2">
      <c r="B201" s="8">
        <f t="shared" si="16"/>
        <v>180</v>
      </c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179"/>
      <c r="AL201" s="179"/>
      <c r="AM201" s="179"/>
      <c r="AN201" s="179"/>
      <c r="AO201" s="179"/>
      <c r="AP201" s="30"/>
      <c r="AQ201" s="75"/>
      <c r="AR201" s="2"/>
      <c r="AS201" s="1" t="str">
        <f t="shared" si="15"/>
        <v/>
      </c>
    </row>
    <row r="202" spans="2:45" x14ac:dyDescent="0.2">
      <c r="B202" s="8">
        <f t="shared" si="16"/>
        <v>181</v>
      </c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179"/>
      <c r="AL202" s="179"/>
      <c r="AM202" s="179"/>
      <c r="AN202" s="179"/>
      <c r="AO202" s="179"/>
      <c r="AP202" s="30"/>
      <c r="AQ202" s="75"/>
      <c r="AR202" s="2"/>
      <c r="AS202" s="1" t="str">
        <f t="shared" si="15"/>
        <v/>
      </c>
    </row>
    <row r="203" spans="2:45" x14ac:dyDescent="0.2">
      <c r="B203" s="8">
        <f t="shared" si="16"/>
        <v>182</v>
      </c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179"/>
      <c r="AL203" s="179"/>
      <c r="AM203" s="179"/>
      <c r="AN203" s="179"/>
      <c r="AO203" s="179"/>
      <c r="AP203" s="30"/>
      <c r="AQ203" s="75"/>
      <c r="AR203" s="2"/>
      <c r="AS203" s="1" t="str">
        <f t="shared" si="15"/>
        <v/>
      </c>
    </row>
    <row r="204" spans="2:45" x14ac:dyDescent="0.2">
      <c r="B204" s="8">
        <f t="shared" si="16"/>
        <v>183</v>
      </c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179"/>
      <c r="AL204" s="179"/>
      <c r="AM204" s="179"/>
      <c r="AN204" s="179"/>
      <c r="AO204" s="179"/>
      <c r="AP204" s="30"/>
      <c r="AQ204" s="75"/>
      <c r="AR204" s="2"/>
      <c r="AS204" s="1" t="str">
        <f t="shared" si="15"/>
        <v/>
      </c>
    </row>
    <row r="205" spans="2:45" x14ac:dyDescent="0.2">
      <c r="B205" s="8">
        <f t="shared" si="16"/>
        <v>184</v>
      </c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179"/>
      <c r="AL205" s="179"/>
      <c r="AM205" s="179"/>
      <c r="AN205" s="179"/>
      <c r="AO205" s="179"/>
      <c r="AP205" s="30"/>
      <c r="AQ205" s="75"/>
      <c r="AR205" s="2"/>
      <c r="AS205" s="1" t="str">
        <f t="shared" si="15"/>
        <v/>
      </c>
    </row>
    <row r="206" spans="2:45" x14ac:dyDescent="0.2">
      <c r="B206" s="8">
        <f t="shared" si="16"/>
        <v>185</v>
      </c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179"/>
      <c r="AL206" s="179"/>
      <c r="AM206" s="179"/>
      <c r="AN206" s="179"/>
      <c r="AO206" s="179"/>
      <c r="AP206" s="30"/>
      <c r="AQ206" s="75"/>
      <c r="AR206" s="2"/>
      <c r="AS206" s="1" t="str">
        <f t="shared" si="15"/>
        <v/>
      </c>
    </row>
    <row r="207" spans="2:45" x14ac:dyDescent="0.2">
      <c r="B207" s="8">
        <f t="shared" si="16"/>
        <v>186</v>
      </c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179"/>
      <c r="AL207" s="179"/>
      <c r="AM207" s="179"/>
      <c r="AN207" s="179"/>
      <c r="AO207" s="179"/>
      <c r="AP207" s="30"/>
      <c r="AQ207" s="75"/>
      <c r="AR207" s="2"/>
      <c r="AS207" s="1" t="str">
        <f t="shared" si="15"/>
        <v/>
      </c>
    </row>
    <row r="208" spans="2:45" x14ac:dyDescent="0.2">
      <c r="B208" s="8">
        <f t="shared" si="16"/>
        <v>187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179"/>
      <c r="AL208" s="179"/>
      <c r="AM208" s="179"/>
      <c r="AN208" s="179"/>
      <c r="AO208" s="179"/>
      <c r="AP208" s="30"/>
      <c r="AQ208" s="75"/>
      <c r="AR208" s="2"/>
      <c r="AS208" s="1" t="str">
        <f t="shared" si="15"/>
        <v/>
      </c>
    </row>
    <row r="209" spans="2:45" x14ac:dyDescent="0.2">
      <c r="B209" s="8">
        <f t="shared" si="16"/>
        <v>188</v>
      </c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179"/>
      <c r="AL209" s="179"/>
      <c r="AM209" s="179"/>
      <c r="AN209" s="179"/>
      <c r="AO209" s="179"/>
      <c r="AP209" s="30"/>
      <c r="AQ209" s="75"/>
      <c r="AR209" s="2"/>
      <c r="AS209" s="1" t="str">
        <f t="shared" si="15"/>
        <v/>
      </c>
    </row>
    <row r="210" spans="2:45" x14ac:dyDescent="0.2">
      <c r="B210" s="8">
        <f t="shared" si="16"/>
        <v>189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179"/>
      <c r="AL210" s="179"/>
      <c r="AM210" s="179"/>
      <c r="AN210" s="179"/>
      <c r="AO210" s="179"/>
      <c r="AP210" s="30"/>
      <c r="AQ210" s="75"/>
      <c r="AR210" s="2"/>
      <c r="AS210" s="1" t="str">
        <f t="shared" si="15"/>
        <v/>
      </c>
    </row>
    <row r="211" spans="2:45" x14ac:dyDescent="0.2">
      <c r="B211" s="8">
        <f t="shared" si="16"/>
        <v>190</v>
      </c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179"/>
      <c r="AL211" s="179"/>
      <c r="AM211" s="179"/>
      <c r="AN211" s="179"/>
      <c r="AO211" s="179"/>
      <c r="AP211" s="30"/>
      <c r="AQ211" s="75"/>
      <c r="AR211" s="2"/>
      <c r="AS211" s="1" t="str">
        <f t="shared" si="15"/>
        <v/>
      </c>
    </row>
    <row r="212" spans="2:45" x14ac:dyDescent="0.2">
      <c r="B212" s="8">
        <f t="shared" si="16"/>
        <v>191</v>
      </c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179"/>
      <c r="AL212" s="179"/>
      <c r="AM212" s="179"/>
      <c r="AN212" s="179"/>
      <c r="AO212" s="179"/>
      <c r="AP212" s="30"/>
      <c r="AQ212" s="75"/>
      <c r="AR212" s="2"/>
      <c r="AS212" s="1" t="str">
        <f t="shared" si="15"/>
        <v/>
      </c>
    </row>
    <row r="213" spans="2:45" x14ac:dyDescent="0.2">
      <c r="B213" s="8">
        <f t="shared" si="16"/>
        <v>192</v>
      </c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179"/>
      <c r="AL213" s="179"/>
      <c r="AM213" s="179"/>
      <c r="AN213" s="179"/>
      <c r="AO213" s="179"/>
      <c r="AP213" s="30"/>
      <c r="AQ213" s="75"/>
      <c r="AR213" s="2"/>
      <c r="AS213" s="1" t="str">
        <f t="shared" si="15"/>
        <v/>
      </c>
    </row>
    <row r="214" spans="2:45" x14ac:dyDescent="0.2">
      <c r="B214" s="8">
        <f t="shared" si="16"/>
        <v>193</v>
      </c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179"/>
      <c r="AL214" s="179"/>
      <c r="AM214" s="179"/>
      <c r="AN214" s="179"/>
      <c r="AO214" s="179"/>
      <c r="AP214" s="30"/>
      <c r="AQ214" s="75"/>
      <c r="AR214" s="2"/>
      <c r="AS214" s="1" t="str">
        <f t="shared" ref="AS214:AS277" si="17">IF(COUNT(C214:AH214)&gt;0,B214,"")</f>
        <v/>
      </c>
    </row>
    <row r="215" spans="2:45" x14ac:dyDescent="0.2">
      <c r="B215" s="8">
        <f t="shared" ref="B215:B278" si="18">ROW()-ROW(B$21)</f>
        <v>194</v>
      </c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179"/>
      <c r="AL215" s="179"/>
      <c r="AM215" s="179"/>
      <c r="AN215" s="179"/>
      <c r="AO215" s="179"/>
      <c r="AP215" s="30"/>
      <c r="AQ215" s="75"/>
      <c r="AR215" s="2"/>
      <c r="AS215" s="1" t="str">
        <f t="shared" si="17"/>
        <v/>
      </c>
    </row>
    <row r="216" spans="2:45" x14ac:dyDescent="0.2">
      <c r="B216" s="8">
        <f t="shared" si="18"/>
        <v>195</v>
      </c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179"/>
      <c r="AL216" s="179"/>
      <c r="AM216" s="179"/>
      <c r="AN216" s="179"/>
      <c r="AO216" s="179"/>
      <c r="AP216" s="30"/>
      <c r="AQ216" s="75"/>
      <c r="AR216" s="2"/>
      <c r="AS216" s="1" t="str">
        <f t="shared" si="17"/>
        <v/>
      </c>
    </row>
    <row r="217" spans="2:45" x14ac:dyDescent="0.2">
      <c r="B217" s="8">
        <f t="shared" si="18"/>
        <v>196</v>
      </c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179"/>
      <c r="AL217" s="179"/>
      <c r="AM217" s="179"/>
      <c r="AN217" s="179"/>
      <c r="AO217" s="179"/>
      <c r="AP217" s="30"/>
      <c r="AQ217" s="75"/>
      <c r="AR217" s="2"/>
      <c r="AS217" s="1" t="str">
        <f t="shared" si="17"/>
        <v/>
      </c>
    </row>
    <row r="218" spans="2:45" x14ac:dyDescent="0.2">
      <c r="B218" s="8">
        <f t="shared" si="18"/>
        <v>197</v>
      </c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179"/>
      <c r="AL218" s="179"/>
      <c r="AM218" s="179"/>
      <c r="AN218" s="179"/>
      <c r="AO218" s="179"/>
      <c r="AP218" s="30"/>
      <c r="AQ218" s="75"/>
      <c r="AR218" s="2"/>
      <c r="AS218" s="1" t="str">
        <f t="shared" si="17"/>
        <v/>
      </c>
    </row>
    <row r="219" spans="2:45" x14ac:dyDescent="0.2">
      <c r="B219" s="8">
        <f t="shared" si="18"/>
        <v>198</v>
      </c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179"/>
      <c r="AL219" s="179"/>
      <c r="AM219" s="179"/>
      <c r="AN219" s="179"/>
      <c r="AO219" s="179"/>
      <c r="AP219" s="30"/>
      <c r="AQ219" s="75"/>
      <c r="AR219" s="2"/>
      <c r="AS219" s="1" t="str">
        <f t="shared" si="17"/>
        <v/>
      </c>
    </row>
    <row r="220" spans="2:45" x14ac:dyDescent="0.2">
      <c r="B220" s="8">
        <f t="shared" si="18"/>
        <v>199</v>
      </c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179"/>
      <c r="AL220" s="179"/>
      <c r="AM220" s="179"/>
      <c r="AN220" s="179"/>
      <c r="AO220" s="179"/>
      <c r="AP220" s="30"/>
      <c r="AQ220" s="75"/>
      <c r="AR220" s="2"/>
      <c r="AS220" s="1" t="str">
        <f t="shared" si="17"/>
        <v/>
      </c>
    </row>
    <row r="221" spans="2:45" x14ac:dyDescent="0.2">
      <c r="B221" s="8">
        <f t="shared" si="18"/>
        <v>200</v>
      </c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179"/>
      <c r="AL221" s="179"/>
      <c r="AM221" s="179"/>
      <c r="AN221" s="179"/>
      <c r="AO221" s="179"/>
      <c r="AP221" s="30"/>
      <c r="AQ221" s="75"/>
      <c r="AR221" s="2"/>
      <c r="AS221" s="1" t="str">
        <f t="shared" si="17"/>
        <v/>
      </c>
    </row>
    <row r="222" spans="2:45" x14ac:dyDescent="0.2">
      <c r="B222" s="8">
        <f t="shared" si="18"/>
        <v>201</v>
      </c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179"/>
      <c r="AL222" s="179"/>
      <c r="AM222" s="179"/>
      <c r="AN222" s="179"/>
      <c r="AO222" s="179"/>
      <c r="AP222" s="30"/>
      <c r="AQ222" s="75"/>
      <c r="AR222" s="2"/>
      <c r="AS222" s="1" t="str">
        <f t="shared" si="17"/>
        <v/>
      </c>
    </row>
    <row r="223" spans="2:45" x14ac:dyDescent="0.2">
      <c r="B223" s="8">
        <f t="shared" si="18"/>
        <v>202</v>
      </c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179"/>
      <c r="AL223" s="179"/>
      <c r="AM223" s="179"/>
      <c r="AN223" s="179"/>
      <c r="AO223" s="179"/>
      <c r="AP223" s="30"/>
      <c r="AQ223" s="75"/>
      <c r="AR223" s="2"/>
      <c r="AS223" s="1" t="str">
        <f t="shared" si="17"/>
        <v/>
      </c>
    </row>
    <row r="224" spans="2:45" x14ac:dyDescent="0.2">
      <c r="B224" s="8">
        <f t="shared" si="18"/>
        <v>203</v>
      </c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179"/>
      <c r="AL224" s="179"/>
      <c r="AM224" s="179"/>
      <c r="AN224" s="179"/>
      <c r="AO224" s="179"/>
      <c r="AP224" s="30"/>
      <c r="AQ224" s="75"/>
      <c r="AR224" s="2"/>
      <c r="AS224" s="1" t="str">
        <f t="shared" si="17"/>
        <v/>
      </c>
    </row>
    <row r="225" spans="2:45" x14ac:dyDescent="0.2">
      <c r="B225" s="8">
        <f t="shared" si="18"/>
        <v>204</v>
      </c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179"/>
      <c r="AL225" s="179"/>
      <c r="AM225" s="179"/>
      <c r="AN225" s="179"/>
      <c r="AO225" s="179"/>
      <c r="AP225" s="30"/>
      <c r="AQ225" s="75"/>
      <c r="AR225" s="2"/>
      <c r="AS225" s="1" t="str">
        <f t="shared" si="17"/>
        <v/>
      </c>
    </row>
    <row r="226" spans="2:45" x14ac:dyDescent="0.2">
      <c r="B226" s="8">
        <f t="shared" si="18"/>
        <v>205</v>
      </c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179"/>
      <c r="AL226" s="179"/>
      <c r="AM226" s="179"/>
      <c r="AN226" s="179"/>
      <c r="AO226" s="179"/>
      <c r="AP226" s="30"/>
      <c r="AQ226" s="75"/>
      <c r="AR226" s="2"/>
      <c r="AS226" s="1" t="str">
        <f t="shared" si="17"/>
        <v/>
      </c>
    </row>
    <row r="227" spans="2:45" x14ac:dyDescent="0.2">
      <c r="B227" s="8">
        <f t="shared" si="18"/>
        <v>206</v>
      </c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179"/>
      <c r="AL227" s="179"/>
      <c r="AM227" s="179"/>
      <c r="AN227" s="179"/>
      <c r="AO227" s="179"/>
      <c r="AP227" s="30"/>
      <c r="AQ227" s="75"/>
      <c r="AR227" s="2"/>
      <c r="AS227" s="1" t="str">
        <f t="shared" si="17"/>
        <v/>
      </c>
    </row>
    <row r="228" spans="2:45" x14ac:dyDescent="0.2">
      <c r="B228" s="8">
        <f t="shared" si="18"/>
        <v>207</v>
      </c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179"/>
      <c r="AL228" s="179"/>
      <c r="AM228" s="179"/>
      <c r="AN228" s="179"/>
      <c r="AO228" s="179"/>
      <c r="AP228" s="30"/>
      <c r="AQ228" s="75"/>
      <c r="AR228" s="2"/>
      <c r="AS228" s="1" t="str">
        <f t="shared" si="17"/>
        <v/>
      </c>
    </row>
    <row r="229" spans="2:45" x14ac:dyDescent="0.2">
      <c r="B229" s="8">
        <f t="shared" si="18"/>
        <v>208</v>
      </c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179"/>
      <c r="AL229" s="179"/>
      <c r="AM229" s="179"/>
      <c r="AN229" s="179"/>
      <c r="AO229" s="179"/>
      <c r="AP229" s="30"/>
      <c r="AQ229" s="75"/>
      <c r="AR229" s="2"/>
      <c r="AS229" s="1" t="str">
        <f t="shared" si="17"/>
        <v/>
      </c>
    </row>
    <row r="230" spans="2:45" x14ac:dyDescent="0.2">
      <c r="B230" s="8">
        <f t="shared" si="18"/>
        <v>209</v>
      </c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179"/>
      <c r="AL230" s="179"/>
      <c r="AM230" s="179"/>
      <c r="AN230" s="179"/>
      <c r="AO230" s="179"/>
      <c r="AP230" s="30"/>
      <c r="AQ230" s="75"/>
      <c r="AR230" s="2"/>
      <c r="AS230" s="1" t="str">
        <f t="shared" si="17"/>
        <v/>
      </c>
    </row>
    <row r="231" spans="2:45" x14ac:dyDescent="0.2">
      <c r="B231" s="8">
        <f t="shared" si="18"/>
        <v>210</v>
      </c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179"/>
      <c r="AL231" s="179"/>
      <c r="AM231" s="179"/>
      <c r="AN231" s="179"/>
      <c r="AO231" s="179"/>
      <c r="AP231" s="30"/>
      <c r="AQ231" s="75"/>
      <c r="AR231" s="2"/>
      <c r="AS231" s="1" t="str">
        <f t="shared" si="17"/>
        <v/>
      </c>
    </row>
    <row r="232" spans="2:45" x14ac:dyDescent="0.2">
      <c r="B232" s="8">
        <f t="shared" si="18"/>
        <v>211</v>
      </c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179"/>
      <c r="AL232" s="179"/>
      <c r="AM232" s="179"/>
      <c r="AN232" s="179"/>
      <c r="AO232" s="179"/>
      <c r="AP232" s="30"/>
      <c r="AQ232" s="75"/>
      <c r="AR232" s="2"/>
      <c r="AS232" s="1" t="str">
        <f t="shared" si="17"/>
        <v/>
      </c>
    </row>
    <row r="233" spans="2:45" x14ac:dyDescent="0.2">
      <c r="B233" s="8">
        <f t="shared" si="18"/>
        <v>212</v>
      </c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179"/>
      <c r="AL233" s="179"/>
      <c r="AM233" s="179"/>
      <c r="AN233" s="179"/>
      <c r="AO233" s="179"/>
      <c r="AP233" s="30"/>
      <c r="AQ233" s="75"/>
      <c r="AR233" s="2"/>
      <c r="AS233" s="1" t="str">
        <f t="shared" si="17"/>
        <v/>
      </c>
    </row>
    <row r="234" spans="2:45" x14ac:dyDescent="0.2">
      <c r="B234" s="8">
        <f t="shared" si="18"/>
        <v>213</v>
      </c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179"/>
      <c r="AL234" s="179"/>
      <c r="AM234" s="179"/>
      <c r="AN234" s="179"/>
      <c r="AO234" s="179"/>
      <c r="AP234" s="30"/>
      <c r="AQ234" s="75"/>
      <c r="AR234" s="2"/>
      <c r="AS234" s="1" t="str">
        <f t="shared" si="17"/>
        <v/>
      </c>
    </row>
    <row r="235" spans="2:45" x14ac:dyDescent="0.2">
      <c r="B235" s="8">
        <f t="shared" si="18"/>
        <v>214</v>
      </c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179"/>
      <c r="AL235" s="179"/>
      <c r="AM235" s="179"/>
      <c r="AN235" s="179"/>
      <c r="AO235" s="179"/>
      <c r="AP235" s="30"/>
      <c r="AQ235" s="75"/>
      <c r="AR235" s="2"/>
      <c r="AS235" s="1" t="str">
        <f t="shared" si="17"/>
        <v/>
      </c>
    </row>
    <row r="236" spans="2:45" x14ac:dyDescent="0.2">
      <c r="B236" s="8">
        <f t="shared" si="18"/>
        <v>215</v>
      </c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179"/>
      <c r="AL236" s="179"/>
      <c r="AM236" s="179"/>
      <c r="AN236" s="179"/>
      <c r="AO236" s="179"/>
      <c r="AP236" s="30"/>
      <c r="AQ236" s="75"/>
      <c r="AR236" s="2"/>
      <c r="AS236" s="1" t="str">
        <f t="shared" si="17"/>
        <v/>
      </c>
    </row>
    <row r="237" spans="2:45" x14ac:dyDescent="0.2">
      <c r="B237" s="8">
        <f t="shared" si="18"/>
        <v>216</v>
      </c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179"/>
      <c r="AL237" s="179"/>
      <c r="AM237" s="179"/>
      <c r="AN237" s="179"/>
      <c r="AO237" s="179"/>
      <c r="AP237" s="30"/>
      <c r="AQ237" s="75"/>
      <c r="AR237" s="2"/>
      <c r="AS237" s="1" t="str">
        <f t="shared" si="17"/>
        <v/>
      </c>
    </row>
    <row r="238" spans="2:45" x14ac:dyDescent="0.2">
      <c r="B238" s="8">
        <f t="shared" si="18"/>
        <v>217</v>
      </c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179"/>
      <c r="AL238" s="179"/>
      <c r="AM238" s="179"/>
      <c r="AN238" s="179"/>
      <c r="AO238" s="179"/>
      <c r="AP238" s="30"/>
      <c r="AQ238" s="75"/>
      <c r="AR238" s="2"/>
      <c r="AS238" s="1" t="str">
        <f t="shared" si="17"/>
        <v/>
      </c>
    </row>
    <row r="239" spans="2:45" x14ac:dyDescent="0.2">
      <c r="B239" s="8">
        <f t="shared" si="18"/>
        <v>218</v>
      </c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179"/>
      <c r="AL239" s="179"/>
      <c r="AM239" s="179"/>
      <c r="AN239" s="179"/>
      <c r="AO239" s="179"/>
      <c r="AP239" s="30"/>
      <c r="AQ239" s="75"/>
      <c r="AR239" s="2"/>
      <c r="AS239" s="1" t="str">
        <f t="shared" si="17"/>
        <v/>
      </c>
    </row>
    <row r="240" spans="2:45" x14ac:dyDescent="0.2">
      <c r="B240" s="8">
        <f t="shared" si="18"/>
        <v>219</v>
      </c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179"/>
      <c r="AL240" s="179"/>
      <c r="AM240" s="179"/>
      <c r="AN240" s="179"/>
      <c r="AO240" s="179"/>
      <c r="AP240" s="30"/>
      <c r="AQ240" s="75"/>
      <c r="AR240" s="2"/>
      <c r="AS240" s="1" t="str">
        <f t="shared" si="17"/>
        <v/>
      </c>
    </row>
    <row r="241" spans="2:45" x14ac:dyDescent="0.2">
      <c r="B241" s="8">
        <f t="shared" si="18"/>
        <v>220</v>
      </c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179"/>
      <c r="AL241" s="179"/>
      <c r="AM241" s="179"/>
      <c r="AN241" s="179"/>
      <c r="AO241" s="179"/>
      <c r="AP241" s="30"/>
      <c r="AQ241" s="75"/>
      <c r="AR241" s="2"/>
      <c r="AS241" s="1" t="str">
        <f t="shared" si="17"/>
        <v/>
      </c>
    </row>
    <row r="242" spans="2:45" x14ac:dyDescent="0.2">
      <c r="B242" s="8">
        <f t="shared" si="18"/>
        <v>221</v>
      </c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179"/>
      <c r="AL242" s="179"/>
      <c r="AM242" s="179"/>
      <c r="AN242" s="179"/>
      <c r="AO242" s="179"/>
      <c r="AP242" s="30"/>
      <c r="AQ242" s="75"/>
      <c r="AR242" s="2"/>
      <c r="AS242" s="1" t="str">
        <f t="shared" si="17"/>
        <v/>
      </c>
    </row>
    <row r="243" spans="2:45" x14ac:dyDescent="0.2">
      <c r="B243" s="8">
        <f t="shared" si="18"/>
        <v>222</v>
      </c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179"/>
      <c r="AL243" s="179"/>
      <c r="AM243" s="179"/>
      <c r="AN243" s="179"/>
      <c r="AO243" s="179"/>
      <c r="AP243" s="30"/>
      <c r="AQ243" s="75"/>
      <c r="AR243" s="2"/>
      <c r="AS243" s="1" t="str">
        <f t="shared" si="17"/>
        <v/>
      </c>
    </row>
    <row r="244" spans="2:45" x14ac:dyDescent="0.2">
      <c r="B244" s="8">
        <f t="shared" si="18"/>
        <v>223</v>
      </c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179"/>
      <c r="AL244" s="179"/>
      <c r="AM244" s="179"/>
      <c r="AN244" s="179"/>
      <c r="AO244" s="179"/>
      <c r="AP244" s="30"/>
      <c r="AQ244" s="75"/>
      <c r="AR244" s="2"/>
      <c r="AS244" s="1" t="str">
        <f t="shared" si="17"/>
        <v/>
      </c>
    </row>
    <row r="245" spans="2:45" x14ac:dyDescent="0.2">
      <c r="B245" s="8">
        <f t="shared" si="18"/>
        <v>224</v>
      </c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179"/>
      <c r="AL245" s="179"/>
      <c r="AM245" s="179"/>
      <c r="AN245" s="179"/>
      <c r="AO245" s="179"/>
      <c r="AP245" s="30"/>
      <c r="AQ245" s="75"/>
      <c r="AR245" s="2"/>
      <c r="AS245" s="1" t="str">
        <f t="shared" si="17"/>
        <v/>
      </c>
    </row>
    <row r="246" spans="2:45" x14ac:dyDescent="0.2">
      <c r="B246" s="8">
        <f t="shared" si="18"/>
        <v>225</v>
      </c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179"/>
      <c r="AL246" s="179"/>
      <c r="AM246" s="179"/>
      <c r="AN246" s="179"/>
      <c r="AO246" s="179"/>
      <c r="AP246" s="30"/>
      <c r="AQ246" s="75"/>
      <c r="AR246" s="2"/>
      <c r="AS246" s="1" t="str">
        <f t="shared" si="17"/>
        <v/>
      </c>
    </row>
    <row r="247" spans="2:45" x14ac:dyDescent="0.2">
      <c r="B247" s="8">
        <f t="shared" si="18"/>
        <v>226</v>
      </c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179"/>
      <c r="AL247" s="179"/>
      <c r="AM247" s="179"/>
      <c r="AN247" s="179"/>
      <c r="AO247" s="179"/>
      <c r="AP247" s="30"/>
      <c r="AQ247" s="75"/>
      <c r="AR247" s="2"/>
      <c r="AS247" s="1" t="str">
        <f t="shared" si="17"/>
        <v/>
      </c>
    </row>
    <row r="248" spans="2:45" x14ac:dyDescent="0.2">
      <c r="B248" s="8">
        <f t="shared" si="18"/>
        <v>227</v>
      </c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179"/>
      <c r="AL248" s="179"/>
      <c r="AM248" s="179"/>
      <c r="AN248" s="179"/>
      <c r="AO248" s="179"/>
      <c r="AP248" s="30"/>
      <c r="AQ248" s="75"/>
      <c r="AR248" s="2"/>
      <c r="AS248" s="1" t="str">
        <f t="shared" si="17"/>
        <v/>
      </c>
    </row>
    <row r="249" spans="2:45" x14ac:dyDescent="0.2">
      <c r="B249" s="8">
        <f t="shared" si="18"/>
        <v>228</v>
      </c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179"/>
      <c r="AL249" s="179"/>
      <c r="AM249" s="179"/>
      <c r="AN249" s="179"/>
      <c r="AO249" s="179"/>
      <c r="AP249" s="30"/>
      <c r="AQ249" s="75"/>
      <c r="AR249" s="2"/>
      <c r="AS249" s="1" t="str">
        <f t="shared" si="17"/>
        <v/>
      </c>
    </row>
    <row r="250" spans="2:45" x14ac:dyDescent="0.2">
      <c r="B250" s="8">
        <f t="shared" si="18"/>
        <v>229</v>
      </c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179"/>
      <c r="AL250" s="179"/>
      <c r="AM250" s="179"/>
      <c r="AN250" s="179"/>
      <c r="AO250" s="179"/>
      <c r="AP250" s="30"/>
      <c r="AQ250" s="75"/>
      <c r="AR250" s="2"/>
      <c r="AS250" s="1" t="str">
        <f t="shared" si="17"/>
        <v/>
      </c>
    </row>
    <row r="251" spans="2:45" x14ac:dyDescent="0.2">
      <c r="B251" s="8">
        <f t="shared" si="18"/>
        <v>230</v>
      </c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179"/>
      <c r="AL251" s="179"/>
      <c r="AM251" s="179"/>
      <c r="AN251" s="179"/>
      <c r="AO251" s="179"/>
      <c r="AP251" s="30"/>
      <c r="AQ251" s="75"/>
      <c r="AR251" s="2"/>
      <c r="AS251" s="1" t="str">
        <f t="shared" si="17"/>
        <v/>
      </c>
    </row>
    <row r="252" spans="2:45" x14ac:dyDescent="0.2">
      <c r="B252" s="8">
        <f t="shared" si="18"/>
        <v>231</v>
      </c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179"/>
      <c r="AL252" s="179"/>
      <c r="AM252" s="179"/>
      <c r="AN252" s="179"/>
      <c r="AO252" s="179"/>
      <c r="AP252" s="30"/>
      <c r="AQ252" s="75"/>
      <c r="AR252" s="2"/>
      <c r="AS252" s="1" t="str">
        <f t="shared" si="17"/>
        <v/>
      </c>
    </row>
    <row r="253" spans="2:45" x14ac:dyDescent="0.2">
      <c r="B253" s="8">
        <f t="shared" si="18"/>
        <v>232</v>
      </c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179"/>
      <c r="AL253" s="179"/>
      <c r="AM253" s="179"/>
      <c r="AN253" s="179"/>
      <c r="AO253" s="179"/>
      <c r="AP253" s="30"/>
      <c r="AQ253" s="75"/>
      <c r="AR253" s="2"/>
      <c r="AS253" s="1" t="str">
        <f t="shared" si="17"/>
        <v/>
      </c>
    </row>
    <row r="254" spans="2:45" x14ac:dyDescent="0.2">
      <c r="B254" s="8">
        <f t="shared" si="18"/>
        <v>233</v>
      </c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179"/>
      <c r="AL254" s="179"/>
      <c r="AM254" s="179"/>
      <c r="AN254" s="179"/>
      <c r="AO254" s="179"/>
      <c r="AP254" s="30"/>
      <c r="AQ254" s="75"/>
      <c r="AR254" s="2"/>
      <c r="AS254" s="1" t="str">
        <f t="shared" si="17"/>
        <v/>
      </c>
    </row>
    <row r="255" spans="2:45" x14ac:dyDescent="0.2">
      <c r="B255" s="8">
        <f t="shared" si="18"/>
        <v>234</v>
      </c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179"/>
      <c r="AL255" s="179"/>
      <c r="AM255" s="179"/>
      <c r="AN255" s="179"/>
      <c r="AO255" s="179"/>
      <c r="AP255" s="30"/>
      <c r="AQ255" s="75"/>
      <c r="AR255" s="2"/>
      <c r="AS255" s="1" t="str">
        <f t="shared" si="17"/>
        <v/>
      </c>
    </row>
    <row r="256" spans="2:45" x14ac:dyDescent="0.2">
      <c r="B256" s="8">
        <f t="shared" si="18"/>
        <v>235</v>
      </c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179"/>
      <c r="AL256" s="179"/>
      <c r="AM256" s="179"/>
      <c r="AN256" s="179"/>
      <c r="AO256" s="179"/>
      <c r="AP256" s="30"/>
      <c r="AQ256" s="75"/>
      <c r="AR256" s="2"/>
      <c r="AS256" s="1" t="str">
        <f t="shared" si="17"/>
        <v/>
      </c>
    </row>
    <row r="257" spans="2:45" x14ac:dyDescent="0.2">
      <c r="B257" s="8">
        <f t="shared" si="18"/>
        <v>236</v>
      </c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179"/>
      <c r="AL257" s="179"/>
      <c r="AM257" s="179"/>
      <c r="AN257" s="179"/>
      <c r="AO257" s="179"/>
      <c r="AP257" s="30"/>
      <c r="AQ257" s="75"/>
      <c r="AR257" s="2"/>
      <c r="AS257" s="1" t="str">
        <f t="shared" si="17"/>
        <v/>
      </c>
    </row>
    <row r="258" spans="2:45" x14ac:dyDescent="0.2">
      <c r="B258" s="8">
        <f t="shared" si="18"/>
        <v>237</v>
      </c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179"/>
      <c r="AL258" s="179"/>
      <c r="AM258" s="179"/>
      <c r="AN258" s="179"/>
      <c r="AO258" s="179"/>
      <c r="AP258" s="30"/>
      <c r="AQ258" s="75"/>
      <c r="AR258" s="2"/>
      <c r="AS258" s="1" t="str">
        <f t="shared" si="17"/>
        <v/>
      </c>
    </row>
    <row r="259" spans="2:45" x14ac:dyDescent="0.2">
      <c r="B259" s="8">
        <f t="shared" si="18"/>
        <v>238</v>
      </c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179"/>
      <c r="AL259" s="179"/>
      <c r="AM259" s="179"/>
      <c r="AN259" s="179"/>
      <c r="AO259" s="179"/>
      <c r="AP259" s="30"/>
      <c r="AQ259" s="75"/>
      <c r="AR259" s="2"/>
      <c r="AS259" s="1" t="str">
        <f t="shared" si="17"/>
        <v/>
      </c>
    </row>
    <row r="260" spans="2:45" x14ac:dyDescent="0.2">
      <c r="B260" s="8">
        <f t="shared" si="18"/>
        <v>239</v>
      </c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179"/>
      <c r="AL260" s="179"/>
      <c r="AM260" s="179"/>
      <c r="AN260" s="179"/>
      <c r="AO260" s="179"/>
      <c r="AP260" s="30"/>
      <c r="AQ260" s="75"/>
      <c r="AR260" s="2"/>
      <c r="AS260" s="1" t="str">
        <f t="shared" si="17"/>
        <v/>
      </c>
    </row>
    <row r="261" spans="2:45" x14ac:dyDescent="0.2">
      <c r="B261" s="8">
        <f t="shared" si="18"/>
        <v>240</v>
      </c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179"/>
      <c r="AL261" s="179"/>
      <c r="AM261" s="179"/>
      <c r="AN261" s="179"/>
      <c r="AO261" s="179"/>
      <c r="AP261" s="30"/>
      <c r="AQ261" s="75"/>
      <c r="AR261" s="2"/>
      <c r="AS261" s="1" t="str">
        <f t="shared" si="17"/>
        <v/>
      </c>
    </row>
    <row r="262" spans="2:45" x14ac:dyDescent="0.2">
      <c r="B262" s="8">
        <f t="shared" si="18"/>
        <v>241</v>
      </c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179"/>
      <c r="AL262" s="179"/>
      <c r="AM262" s="179"/>
      <c r="AN262" s="179"/>
      <c r="AO262" s="179"/>
      <c r="AP262" s="30"/>
      <c r="AQ262" s="75"/>
      <c r="AR262" s="2"/>
      <c r="AS262" s="1" t="str">
        <f t="shared" si="17"/>
        <v/>
      </c>
    </row>
    <row r="263" spans="2:45" x14ac:dyDescent="0.2">
      <c r="B263" s="8">
        <f t="shared" si="18"/>
        <v>242</v>
      </c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179"/>
      <c r="AL263" s="179"/>
      <c r="AM263" s="179"/>
      <c r="AN263" s="179"/>
      <c r="AO263" s="179"/>
      <c r="AP263" s="30"/>
      <c r="AQ263" s="75"/>
      <c r="AR263" s="2"/>
      <c r="AS263" s="1" t="str">
        <f t="shared" si="17"/>
        <v/>
      </c>
    </row>
    <row r="264" spans="2:45" x14ac:dyDescent="0.2">
      <c r="B264" s="8">
        <f t="shared" si="18"/>
        <v>243</v>
      </c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179"/>
      <c r="AL264" s="179"/>
      <c r="AM264" s="179"/>
      <c r="AN264" s="179"/>
      <c r="AO264" s="179"/>
      <c r="AP264" s="30"/>
      <c r="AQ264" s="75"/>
      <c r="AR264" s="2"/>
      <c r="AS264" s="1" t="str">
        <f t="shared" si="17"/>
        <v/>
      </c>
    </row>
    <row r="265" spans="2:45" x14ac:dyDescent="0.2">
      <c r="B265" s="8">
        <f t="shared" si="18"/>
        <v>244</v>
      </c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179"/>
      <c r="AL265" s="179"/>
      <c r="AM265" s="179"/>
      <c r="AN265" s="179"/>
      <c r="AO265" s="179"/>
      <c r="AP265" s="30"/>
      <c r="AQ265" s="75"/>
      <c r="AR265" s="2"/>
      <c r="AS265" s="1" t="str">
        <f t="shared" si="17"/>
        <v/>
      </c>
    </row>
    <row r="266" spans="2:45" x14ac:dyDescent="0.2">
      <c r="B266" s="8">
        <f t="shared" si="18"/>
        <v>245</v>
      </c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179"/>
      <c r="AL266" s="179"/>
      <c r="AM266" s="179"/>
      <c r="AN266" s="179"/>
      <c r="AO266" s="179"/>
      <c r="AP266" s="30"/>
      <c r="AQ266" s="75"/>
      <c r="AR266" s="2"/>
      <c r="AS266" s="1" t="str">
        <f t="shared" si="17"/>
        <v/>
      </c>
    </row>
    <row r="267" spans="2:45" x14ac:dyDescent="0.2">
      <c r="B267" s="8">
        <f t="shared" si="18"/>
        <v>246</v>
      </c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179"/>
      <c r="AL267" s="179"/>
      <c r="AM267" s="179"/>
      <c r="AN267" s="179"/>
      <c r="AO267" s="179"/>
      <c r="AP267" s="30"/>
      <c r="AQ267" s="75"/>
      <c r="AR267" s="2"/>
      <c r="AS267" s="1" t="str">
        <f t="shared" si="17"/>
        <v/>
      </c>
    </row>
    <row r="268" spans="2:45" x14ac:dyDescent="0.2">
      <c r="B268" s="8">
        <f t="shared" si="18"/>
        <v>247</v>
      </c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179"/>
      <c r="AL268" s="179"/>
      <c r="AM268" s="179"/>
      <c r="AN268" s="179"/>
      <c r="AO268" s="179"/>
      <c r="AP268" s="30"/>
      <c r="AQ268" s="75"/>
      <c r="AR268" s="2"/>
      <c r="AS268" s="1" t="str">
        <f t="shared" si="17"/>
        <v/>
      </c>
    </row>
    <row r="269" spans="2:45" x14ac:dyDescent="0.2">
      <c r="B269" s="8">
        <f t="shared" si="18"/>
        <v>248</v>
      </c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179"/>
      <c r="AL269" s="179"/>
      <c r="AM269" s="179"/>
      <c r="AN269" s="179"/>
      <c r="AO269" s="179"/>
      <c r="AP269" s="30"/>
      <c r="AQ269" s="75"/>
      <c r="AR269" s="2"/>
      <c r="AS269" s="1" t="str">
        <f t="shared" si="17"/>
        <v/>
      </c>
    </row>
    <row r="270" spans="2:45" x14ac:dyDescent="0.2">
      <c r="B270" s="8">
        <f t="shared" si="18"/>
        <v>249</v>
      </c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179"/>
      <c r="AL270" s="179"/>
      <c r="AM270" s="179"/>
      <c r="AN270" s="179"/>
      <c r="AO270" s="179"/>
      <c r="AP270" s="30"/>
      <c r="AQ270" s="75"/>
      <c r="AR270" s="2"/>
      <c r="AS270" s="1" t="str">
        <f t="shared" si="17"/>
        <v/>
      </c>
    </row>
    <row r="271" spans="2:45" x14ac:dyDescent="0.2">
      <c r="B271" s="8">
        <f t="shared" si="18"/>
        <v>250</v>
      </c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179"/>
      <c r="AL271" s="179"/>
      <c r="AM271" s="179"/>
      <c r="AN271" s="179"/>
      <c r="AO271" s="179"/>
      <c r="AP271" s="30"/>
      <c r="AQ271" s="75"/>
      <c r="AR271" s="2"/>
      <c r="AS271" s="1" t="str">
        <f t="shared" si="17"/>
        <v/>
      </c>
    </row>
    <row r="272" spans="2:45" x14ac:dyDescent="0.2">
      <c r="B272" s="8">
        <f t="shared" si="18"/>
        <v>251</v>
      </c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179"/>
      <c r="AL272" s="179"/>
      <c r="AM272" s="179"/>
      <c r="AN272" s="179"/>
      <c r="AO272" s="179"/>
      <c r="AP272" s="30"/>
      <c r="AQ272" s="75"/>
      <c r="AR272" s="2"/>
      <c r="AS272" s="1" t="str">
        <f t="shared" si="17"/>
        <v/>
      </c>
    </row>
    <row r="273" spans="2:45" x14ac:dyDescent="0.2">
      <c r="B273" s="8">
        <f t="shared" si="18"/>
        <v>252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179"/>
      <c r="AL273" s="179"/>
      <c r="AM273" s="179"/>
      <c r="AN273" s="179"/>
      <c r="AO273" s="179"/>
      <c r="AP273" s="30"/>
      <c r="AQ273" s="75"/>
      <c r="AR273" s="2"/>
      <c r="AS273" s="1" t="str">
        <f t="shared" si="17"/>
        <v/>
      </c>
    </row>
    <row r="274" spans="2:45" x14ac:dyDescent="0.2">
      <c r="B274" s="8">
        <f t="shared" si="18"/>
        <v>253</v>
      </c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179"/>
      <c r="AL274" s="179"/>
      <c r="AM274" s="179"/>
      <c r="AN274" s="179"/>
      <c r="AO274" s="179"/>
      <c r="AP274" s="30"/>
      <c r="AQ274" s="75"/>
      <c r="AR274" s="2"/>
      <c r="AS274" s="1" t="str">
        <f t="shared" si="17"/>
        <v/>
      </c>
    </row>
    <row r="275" spans="2:45" x14ac:dyDescent="0.2">
      <c r="B275" s="8">
        <f t="shared" si="18"/>
        <v>254</v>
      </c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179"/>
      <c r="AL275" s="179"/>
      <c r="AM275" s="179"/>
      <c r="AN275" s="179"/>
      <c r="AO275" s="179"/>
      <c r="AP275" s="30"/>
      <c r="AQ275" s="75"/>
      <c r="AR275" s="2"/>
      <c r="AS275" s="1" t="str">
        <f t="shared" si="17"/>
        <v/>
      </c>
    </row>
    <row r="276" spans="2:45" x14ac:dyDescent="0.2">
      <c r="B276" s="8">
        <f t="shared" si="18"/>
        <v>255</v>
      </c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179"/>
      <c r="AL276" s="179"/>
      <c r="AM276" s="179"/>
      <c r="AN276" s="179"/>
      <c r="AO276" s="179"/>
      <c r="AP276" s="30"/>
      <c r="AQ276" s="75"/>
      <c r="AR276" s="2"/>
      <c r="AS276" s="1" t="str">
        <f t="shared" si="17"/>
        <v/>
      </c>
    </row>
    <row r="277" spans="2:45" x14ac:dyDescent="0.2">
      <c r="B277" s="8">
        <f t="shared" si="18"/>
        <v>256</v>
      </c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179"/>
      <c r="AL277" s="179"/>
      <c r="AM277" s="179"/>
      <c r="AN277" s="179"/>
      <c r="AO277" s="179"/>
      <c r="AP277" s="30"/>
      <c r="AQ277" s="75"/>
      <c r="AR277" s="2"/>
      <c r="AS277" s="1" t="str">
        <f t="shared" si="17"/>
        <v/>
      </c>
    </row>
    <row r="278" spans="2:45" x14ac:dyDescent="0.2">
      <c r="B278" s="8">
        <f t="shared" si="18"/>
        <v>257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179"/>
      <c r="AL278" s="179"/>
      <c r="AM278" s="179"/>
      <c r="AN278" s="179"/>
      <c r="AO278" s="179"/>
      <c r="AP278" s="30"/>
      <c r="AQ278" s="75"/>
      <c r="AR278" s="2"/>
      <c r="AS278" s="1" t="str">
        <f t="shared" ref="AS278:AS341" si="19">IF(COUNT(C278:AH278)&gt;0,B278,"")</f>
        <v/>
      </c>
    </row>
    <row r="279" spans="2:45" x14ac:dyDescent="0.2">
      <c r="B279" s="8">
        <f t="shared" ref="B279:B342" si="20">ROW()-ROW(B$21)</f>
        <v>258</v>
      </c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179"/>
      <c r="AL279" s="179"/>
      <c r="AM279" s="179"/>
      <c r="AN279" s="179"/>
      <c r="AO279" s="179"/>
      <c r="AP279" s="30"/>
      <c r="AQ279" s="75"/>
      <c r="AR279" s="2"/>
      <c r="AS279" s="1" t="str">
        <f t="shared" si="19"/>
        <v/>
      </c>
    </row>
    <row r="280" spans="2:45" x14ac:dyDescent="0.2">
      <c r="B280" s="8">
        <f t="shared" si="20"/>
        <v>259</v>
      </c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179"/>
      <c r="AL280" s="179"/>
      <c r="AM280" s="179"/>
      <c r="AN280" s="179"/>
      <c r="AO280" s="179"/>
      <c r="AP280" s="30"/>
      <c r="AQ280" s="75"/>
      <c r="AR280" s="2"/>
      <c r="AS280" s="1" t="str">
        <f t="shared" si="19"/>
        <v/>
      </c>
    </row>
    <row r="281" spans="2:45" x14ac:dyDescent="0.2">
      <c r="B281" s="8">
        <f t="shared" si="20"/>
        <v>260</v>
      </c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179"/>
      <c r="AL281" s="179"/>
      <c r="AM281" s="179"/>
      <c r="AN281" s="179"/>
      <c r="AO281" s="179"/>
      <c r="AP281" s="30"/>
      <c r="AQ281" s="75"/>
      <c r="AR281" s="2"/>
      <c r="AS281" s="1" t="str">
        <f t="shared" si="19"/>
        <v/>
      </c>
    </row>
    <row r="282" spans="2:45" x14ac:dyDescent="0.2">
      <c r="B282" s="8">
        <f t="shared" si="20"/>
        <v>261</v>
      </c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179"/>
      <c r="AL282" s="179"/>
      <c r="AM282" s="179"/>
      <c r="AN282" s="179"/>
      <c r="AO282" s="179"/>
      <c r="AP282" s="30"/>
      <c r="AQ282" s="75"/>
      <c r="AR282" s="2"/>
      <c r="AS282" s="1" t="str">
        <f t="shared" si="19"/>
        <v/>
      </c>
    </row>
    <row r="283" spans="2:45" x14ac:dyDescent="0.2">
      <c r="B283" s="8">
        <f t="shared" si="20"/>
        <v>262</v>
      </c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179"/>
      <c r="AL283" s="179"/>
      <c r="AM283" s="179"/>
      <c r="AN283" s="179"/>
      <c r="AO283" s="179"/>
      <c r="AP283" s="30"/>
      <c r="AQ283" s="75"/>
      <c r="AR283" s="2"/>
      <c r="AS283" s="1" t="str">
        <f t="shared" si="19"/>
        <v/>
      </c>
    </row>
    <row r="284" spans="2:45" x14ac:dyDescent="0.2">
      <c r="B284" s="8">
        <f t="shared" si="20"/>
        <v>263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179"/>
      <c r="AL284" s="179"/>
      <c r="AM284" s="179"/>
      <c r="AN284" s="179"/>
      <c r="AO284" s="179"/>
      <c r="AP284" s="30"/>
      <c r="AQ284" s="75"/>
      <c r="AR284" s="2"/>
      <c r="AS284" s="1" t="str">
        <f t="shared" si="19"/>
        <v/>
      </c>
    </row>
    <row r="285" spans="2:45" x14ac:dyDescent="0.2">
      <c r="B285" s="8">
        <f t="shared" si="20"/>
        <v>264</v>
      </c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179"/>
      <c r="AL285" s="179"/>
      <c r="AM285" s="179"/>
      <c r="AN285" s="179"/>
      <c r="AO285" s="179"/>
      <c r="AP285" s="30"/>
      <c r="AQ285" s="75"/>
      <c r="AR285" s="2"/>
      <c r="AS285" s="1" t="str">
        <f t="shared" si="19"/>
        <v/>
      </c>
    </row>
    <row r="286" spans="2:45" x14ac:dyDescent="0.2">
      <c r="B286" s="8">
        <f t="shared" si="20"/>
        <v>265</v>
      </c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179"/>
      <c r="AL286" s="179"/>
      <c r="AM286" s="179"/>
      <c r="AN286" s="179"/>
      <c r="AO286" s="179"/>
      <c r="AP286" s="30"/>
      <c r="AQ286" s="75"/>
      <c r="AR286" s="2"/>
      <c r="AS286" s="1" t="str">
        <f t="shared" si="19"/>
        <v/>
      </c>
    </row>
    <row r="287" spans="2:45" x14ac:dyDescent="0.2">
      <c r="B287" s="8">
        <f t="shared" si="20"/>
        <v>266</v>
      </c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179"/>
      <c r="AL287" s="179"/>
      <c r="AM287" s="179"/>
      <c r="AN287" s="179"/>
      <c r="AO287" s="179"/>
      <c r="AP287" s="30"/>
      <c r="AQ287" s="75"/>
      <c r="AR287" s="2"/>
      <c r="AS287" s="1" t="str">
        <f t="shared" si="19"/>
        <v/>
      </c>
    </row>
    <row r="288" spans="2:45" x14ac:dyDescent="0.2">
      <c r="B288" s="8">
        <f t="shared" si="20"/>
        <v>267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179"/>
      <c r="AL288" s="179"/>
      <c r="AM288" s="179"/>
      <c r="AN288" s="179"/>
      <c r="AO288" s="179"/>
      <c r="AP288" s="30"/>
      <c r="AQ288" s="75"/>
      <c r="AR288" s="2"/>
      <c r="AS288" s="1" t="str">
        <f t="shared" si="19"/>
        <v/>
      </c>
    </row>
    <row r="289" spans="2:45" x14ac:dyDescent="0.2">
      <c r="B289" s="8">
        <f t="shared" si="20"/>
        <v>268</v>
      </c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179"/>
      <c r="AL289" s="179"/>
      <c r="AM289" s="179"/>
      <c r="AN289" s="179"/>
      <c r="AO289" s="179"/>
      <c r="AP289" s="30"/>
      <c r="AQ289" s="75"/>
      <c r="AR289" s="2"/>
      <c r="AS289" s="1" t="str">
        <f t="shared" si="19"/>
        <v/>
      </c>
    </row>
    <row r="290" spans="2:45" x14ac:dyDescent="0.2">
      <c r="B290" s="8">
        <f t="shared" si="20"/>
        <v>269</v>
      </c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179"/>
      <c r="AL290" s="179"/>
      <c r="AM290" s="179"/>
      <c r="AN290" s="179"/>
      <c r="AO290" s="179"/>
      <c r="AP290" s="30"/>
      <c r="AQ290" s="75"/>
      <c r="AR290" s="2"/>
      <c r="AS290" s="1" t="str">
        <f t="shared" si="19"/>
        <v/>
      </c>
    </row>
    <row r="291" spans="2:45" x14ac:dyDescent="0.2">
      <c r="B291" s="8">
        <f t="shared" si="20"/>
        <v>270</v>
      </c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179"/>
      <c r="AL291" s="179"/>
      <c r="AM291" s="179"/>
      <c r="AN291" s="179"/>
      <c r="AO291" s="179"/>
      <c r="AP291" s="30"/>
      <c r="AQ291" s="75"/>
      <c r="AR291" s="2"/>
      <c r="AS291" s="1" t="str">
        <f t="shared" si="19"/>
        <v/>
      </c>
    </row>
    <row r="292" spans="2:45" x14ac:dyDescent="0.2">
      <c r="B292" s="8">
        <f t="shared" si="20"/>
        <v>271</v>
      </c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179"/>
      <c r="AL292" s="179"/>
      <c r="AM292" s="179"/>
      <c r="AN292" s="179"/>
      <c r="AO292" s="179"/>
      <c r="AP292" s="30"/>
      <c r="AQ292" s="75"/>
      <c r="AR292" s="2"/>
      <c r="AS292" s="1" t="str">
        <f t="shared" si="19"/>
        <v/>
      </c>
    </row>
    <row r="293" spans="2:45" x14ac:dyDescent="0.2">
      <c r="B293" s="8">
        <f t="shared" si="20"/>
        <v>272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179"/>
      <c r="AL293" s="179"/>
      <c r="AM293" s="179"/>
      <c r="AN293" s="179"/>
      <c r="AO293" s="179"/>
      <c r="AP293" s="30"/>
      <c r="AQ293" s="75"/>
      <c r="AR293" s="2"/>
      <c r="AS293" s="1" t="str">
        <f t="shared" si="19"/>
        <v/>
      </c>
    </row>
    <row r="294" spans="2:45" x14ac:dyDescent="0.2">
      <c r="B294" s="8">
        <f t="shared" si="20"/>
        <v>273</v>
      </c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179"/>
      <c r="AL294" s="179"/>
      <c r="AM294" s="179"/>
      <c r="AN294" s="179"/>
      <c r="AO294" s="179"/>
      <c r="AP294" s="30"/>
      <c r="AQ294" s="75"/>
      <c r="AR294" s="2"/>
      <c r="AS294" s="1" t="str">
        <f t="shared" si="19"/>
        <v/>
      </c>
    </row>
    <row r="295" spans="2:45" x14ac:dyDescent="0.2">
      <c r="B295" s="8">
        <f t="shared" si="20"/>
        <v>274</v>
      </c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179"/>
      <c r="AL295" s="179"/>
      <c r="AM295" s="179"/>
      <c r="AN295" s="179"/>
      <c r="AO295" s="179"/>
      <c r="AP295" s="30"/>
      <c r="AQ295" s="75"/>
      <c r="AR295" s="2"/>
      <c r="AS295" s="1" t="str">
        <f t="shared" si="19"/>
        <v/>
      </c>
    </row>
    <row r="296" spans="2:45" x14ac:dyDescent="0.2">
      <c r="B296" s="8">
        <f t="shared" si="20"/>
        <v>275</v>
      </c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179"/>
      <c r="AL296" s="179"/>
      <c r="AM296" s="179"/>
      <c r="AN296" s="179"/>
      <c r="AO296" s="179"/>
      <c r="AP296" s="30"/>
      <c r="AQ296" s="75"/>
      <c r="AR296" s="2"/>
      <c r="AS296" s="1" t="str">
        <f t="shared" si="19"/>
        <v/>
      </c>
    </row>
    <row r="297" spans="2:45" x14ac:dyDescent="0.2">
      <c r="B297" s="8">
        <f t="shared" si="20"/>
        <v>276</v>
      </c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179"/>
      <c r="AL297" s="179"/>
      <c r="AM297" s="179"/>
      <c r="AN297" s="179"/>
      <c r="AO297" s="179"/>
      <c r="AP297" s="30"/>
      <c r="AQ297" s="75"/>
      <c r="AR297" s="2"/>
      <c r="AS297" s="1" t="str">
        <f t="shared" si="19"/>
        <v/>
      </c>
    </row>
    <row r="298" spans="2:45" x14ac:dyDescent="0.2">
      <c r="B298" s="8">
        <f t="shared" si="20"/>
        <v>277</v>
      </c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179"/>
      <c r="AL298" s="179"/>
      <c r="AM298" s="179"/>
      <c r="AN298" s="179"/>
      <c r="AO298" s="179"/>
      <c r="AP298" s="30"/>
      <c r="AQ298" s="75"/>
      <c r="AR298" s="2"/>
      <c r="AS298" s="1" t="str">
        <f t="shared" si="19"/>
        <v/>
      </c>
    </row>
    <row r="299" spans="2:45" x14ac:dyDescent="0.2">
      <c r="B299" s="8">
        <f t="shared" si="20"/>
        <v>278</v>
      </c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179"/>
      <c r="AL299" s="179"/>
      <c r="AM299" s="179"/>
      <c r="AN299" s="179"/>
      <c r="AO299" s="179"/>
      <c r="AP299" s="30"/>
      <c r="AQ299" s="75"/>
      <c r="AR299" s="2"/>
      <c r="AS299" s="1" t="str">
        <f t="shared" si="19"/>
        <v/>
      </c>
    </row>
    <row r="300" spans="2:45" x14ac:dyDescent="0.2">
      <c r="B300" s="8">
        <f t="shared" si="20"/>
        <v>279</v>
      </c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179"/>
      <c r="AL300" s="179"/>
      <c r="AM300" s="179"/>
      <c r="AN300" s="179"/>
      <c r="AO300" s="179"/>
      <c r="AP300" s="30"/>
      <c r="AQ300" s="75"/>
      <c r="AR300" s="2"/>
      <c r="AS300" s="1" t="str">
        <f t="shared" si="19"/>
        <v/>
      </c>
    </row>
    <row r="301" spans="2:45" x14ac:dyDescent="0.2">
      <c r="B301" s="8">
        <f t="shared" si="20"/>
        <v>280</v>
      </c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179"/>
      <c r="AL301" s="179"/>
      <c r="AM301" s="179"/>
      <c r="AN301" s="179"/>
      <c r="AO301" s="179"/>
      <c r="AP301" s="30"/>
      <c r="AQ301" s="75"/>
      <c r="AR301" s="2"/>
      <c r="AS301" s="1" t="str">
        <f t="shared" si="19"/>
        <v/>
      </c>
    </row>
    <row r="302" spans="2:45" x14ac:dyDescent="0.2">
      <c r="B302" s="8">
        <f t="shared" si="20"/>
        <v>281</v>
      </c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179"/>
      <c r="AL302" s="179"/>
      <c r="AM302" s="179"/>
      <c r="AN302" s="179"/>
      <c r="AO302" s="179"/>
      <c r="AP302" s="30"/>
      <c r="AQ302" s="75"/>
      <c r="AR302" s="2"/>
      <c r="AS302" s="1" t="str">
        <f t="shared" si="19"/>
        <v/>
      </c>
    </row>
    <row r="303" spans="2:45" x14ac:dyDescent="0.2">
      <c r="B303" s="8">
        <f t="shared" si="20"/>
        <v>282</v>
      </c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179"/>
      <c r="AL303" s="179"/>
      <c r="AM303" s="179"/>
      <c r="AN303" s="179"/>
      <c r="AO303" s="179"/>
      <c r="AP303" s="30"/>
      <c r="AQ303" s="75"/>
      <c r="AR303" s="2"/>
      <c r="AS303" s="1" t="str">
        <f t="shared" si="19"/>
        <v/>
      </c>
    </row>
    <row r="304" spans="2:45" x14ac:dyDescent="0.2">
      <c r="B304" s="8">
        <f t="shared" si="20"/>
        <v>283</v>
      </c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179"/>
      <c r="AL304" s="179"/>
      <c r="AM304" s="179"/>
      <c r="AN304" s="179"/>
      <c r="AO304" s="179"/>
      <c r="AP304" s="30"/>
      <c r="AQ304" s="75"/>
      <c r="AR304" s="2"/>
      <c r="AS304" s="1" t="str">
        <f t="shared" si="19"/>
        <v/>
      </c>
    </row>
    <row r="305" spans="2:45" x14ac:dyDescent="0.2">
      <c r="B305" s="8">
        <f t="shared" si="20"/>
        <v>284</v>
      </c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179"/>
      <c r="AL305" s="179"/>
      <c r="AM305" s="179"/>
      <c r="AN305" s="179"/>
      <c r="AO305" s="179"/>
      <c r="AP305" s="30"/>
      <c r="AQ305" s="75"/>
      <c r="AR305" s="2"/>
      <c r="AS305" s="1" t="str">
        <f t="shared" si="19"/>
        <v/>
      </c>
    </row>
    <row r="306" spans="2:45" x14ac:dyDescent="0.2">
      <c r="B306" s="8">
        <f t="shared" si="20"/>
        <v>285</v>
      </c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179"/>
      <c r="AL306" s="179"/>
      <c r="AM306" s="179"/>
      <c r="AN306" s="179"/>
      <c r="AO306" s="179"/>
      <c r="AP306" s="30"/>
      <c r="AQ306" s="75"/>
      <c r="AR306" s="2"/>
      <c r="AS306" s="1" t="str">
        <f t="shared" si="19"/>
        <v/>
      </c>
    </row>
    <row r="307" spans="2:45" x14ac:dyDescent="0.2">
      <c r="B307" s="8">
        <f t="shared" si="20"/>
        <v>286</v>
      </c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179"/>
      <c r="AL307" s="179"/>
      <c r="AM307" s="179"/>
      <c r="AN307" s="179"/>
      <c r="AO307" s="179"/>
      <c r="AP307" s="30"/>
      <c r="AQ307" s="75"/>
      <c r="AR307" s="2"/>
      <c r="AS307" s="1" t="str">
        <f t="shared" si="19"/>
        <v/>
      </c>
    </row>
    <row r="308" spans="2:45" x14ac:dyDescent="0.2">
      <c r="B308" s="8">
        <f t="shared" si="20"/>
        <v>287</v>
      </c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179"/>
      <c r="AL308" s="179"/>
      <c r="AM308" s="179"/>
      <c r="AN308" s="179"/>
      <c r="AO308" s="179"/>
      <c r="AP308" s="30"/>
      <c r="AQ308" s="75"/>
      <c r="AR308" s="2"/>
      <c r="AS308" s="1" t="str">
        <f t="shared" si="19"/>
        <v/>
      </c>
    </row>
    <row r="309" spans="2:45" x14ac:dyDescent="0.2">
      <c r="B309" s="8">
        <f t="shared" si="20"/>
        <v>288</v>
      </c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179"/>
      <c r="AL309" s="179"/>
      <c r="AM309" s="179"/>
      <c r="AN309" s="179"/>
      <c r="AO309" s="179"/>
      <c r="AP309" s="30"/>
      <c r="AQ309" s="75"/>
      <c r="AR309" s="2"/>
      <c r="AS309" s="1" t="str">
        <f t="shared" si="19"/>
        <v/>
      </c>
    </row>
    <row r="310" spans="2:45" x14ac:dyDescent="0.2">
      <c r="B310" s="8">
        <f t="shared" si="20"/>
        <v>289</v>
      </c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179"/>
      <c r="AL310" s="179"/>
      <c r="AM310" s="179"/>
      <c r="AN310" s="179"/>
      <c r="AO310" s="179"/>
      <c r="AP310" s="30"/>
      <c r="AQ310" s="75"/>
      <c r="AR310" s="2"/>
      <c r="AS310" s="1" t="str">
        <f t="shared" si="19"/>
        <v/>
      </c>
    </row>
    <row r="311" spans="2:45" x14ac:dyDescent="0.2">
      <c r="B311" s="8">
        <f t="shared" si="20"/>
        <v>290</v>
      </c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179"/>
      <c r="AL311" s="179"/>
      <c r="AM311" s="179"/>
      <c r="AN311" s="179"/>
      <c r="AO311" s="179"/>
      <c r="AP311" s="30"/>
      <c r="AQ311" s="75"/>
      <c r="AR311" s="2"/>
      <c r="AS311" s="1" t="str">
        <f t="shared" si="19"/>
        <v/>
      </c>
    </row>
    <row r="312" spans="2:45" x14ac:dyDescent="0.2">
      <c r="B312" s="8">
        <f t="shared" si="20"/>
        <v>291</v>
      </c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179"/>
      <c r="AL312" s="179"/>
      <c r="AM312" s="179"/>
      <c r="AN312" s="179"/>
      <c r="AO312" s="179"/>
      <c r="AP312" s="30"/>
      <c r="AQ312" s="75"/>
      <c r="AR312" s="2"/>
      <c r="AS312" s="1" t="str">
        <f t="shared" si="19"/>
        <v/>
      </c>
    </row>
    <row r="313" spans="2:45" x14ac:dyDescent="0.2">
      <c r="B313" s="8">
        <f t="shared" si="20"/>
        <v>292</v>
      </c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179"/>
      <c r="AL313" s="179"/>
      <c r="AM313" s="179"/>
      <c r="AN313" s="179"/>
      <c r="AO313" s="179"/>
      <c r="AP313" s="30"/>
      <c r="AQ313" s="75"/>
      <c r="AR313" s="2"/>
      <c r="AS313" s="1" t="str">
        <f t="shared" si="19"/>
        <v/>
      </c>
    </row>
    <row r="314" spans="2:45" x14ac:dyDescent="0.2">
      <c r="B314" s="8">
        <f t="shared" si="20"/>
        <v>293</v>
      </c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179"/>
      <c r="AL314" s="179"/>
      <c r="AM314" s="179"/>
      <c r="AN314" s="179"/>
      <c r="AO314" s="179"/>
      <c r="AP314" s="30"/>
      <c r="AQ314" s="75"/>
      <c r="AR314" s="2"/>
      <c r="AS314" s="1" t="str">
        <f t="shared" si="19"/>
        <v/>
      </c>
    </row>
    <row r="315" spans="2:45" x14ac:dyDescent="0.2">
      <c r="B315" s="8">
        <f t="shared" si="20"/>
        <v>294</v>
      </c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179"/>
      <c r="AL315" s="179"/>
      <c r="AM315" s="179"/>
      <c r="AN315" s="179"/>
      <c r="AO315" s="179"/>
      <c r="AP315" s="30"/>
      <c r="AQ315" s="75"/>
      <c r="AR315" s="2"/>
      <c r="AS315" s="1" t="str">
        <f t="shared" si="19"/>
        <v/>
      </c>
    </row>
    <row r="316" spans="2:45" x14ac:dyDescent="0.2">
      <c r="B316" s="8">
        <f t="shared" si="20"/>
        <v>295</v>
      </c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179"/>
      <c r="AL316" s="179"/>
      <c r="AM316" s="179"/>
      <c r="AN316" s="179"/>
      <c r="AO316" s="179"/>
      <c r="AP316" s="30"/>
      <c r="AQ316" s="75"/>
      <c r="AR316" s="2"/>
      <c r="AS316" s="1" t="str">
        <f t="shared" si="19"/>
        <v/>
      </c>
    </row>
    <row r="317" spans="2:45" x14ac:dyDescent="0.2">
      <c r="B317" s="8">
        <f t="shared" si="20"/>
        <v>296</v>
      </c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179"/>
      <c r="AL317" s="179"/>
      <c r="AM317" s="179"/>
      <c r="AN317" s="179"/>
      <c r="AO317" s="179"/>
      <c r="AP317" s="30"/>
      <c r="AQ317" s="75"/>
      <c r="AR317" s="2"/>
      <c r="AS317" s="1" t="str">
        <f t="shared" si="19"/>
        <v/>
      </c>
    </row>
    <row r="318" spans="2:45" x14ac:dyDescent="0.2">
      <c r="B318" s="8">
        <f t="shared" si="20"/>
        <v>297</v>
      </c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179"/>
      <c r="AL318" s="179"/>
      <c r="AM318" s="179"/>
      <c r="AN318" s="179"/>
      <c r="AO318" s="179"/>
      <c r="AP318" s="30"/>
      <c r="AQ318" s="75"/>
      <c r="AR318" s="2"/>
      <c r="AS318" s="1" t="str">
        <f t="shared" si="19"/>
        <v/>
      </c>
    </row>
    <row r="319" spans="2:45" x14ac:dyDescent="0.2">
      <c r="B319" s="8">
        <f t="shared" si="20"/>
        <v>298</v>
      </c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179"/>
      <c r="AL319" s="179"/>
      <c r="AM319" s="179"/>
      <c r="AN319" s="179"/>
      <c r="AO319" s="179"/>
      <c r="AP319" s="30"/>
      <c r="AQ319" s="75"/>
      <c r="AR319" s="2"/>
      <c r="AS319" s="1" t="str">
        <f t="shared" si="19"/>
        <v/>
      </c>
    </row>
    <row r="320" spans="2:45" x14ac:dyDescent="0.2">
      <c r="B320" s="8">
        <f t="shared" si="20"/>
        <v>299</v>
      </c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179"/>
      <c r="AL320" s="179"/>
      <c r="AM320" s="179"/>
      <c r="AN320" s="179"/>
      <c r="AO320" s="179"/>
      <c r="AP320" s="30"/>
      <c r="AQ320" s="75"/>
      <c r="AR320" s="2"/>
      <c r="AS320" s="1" t="str">
        <f t="shared" si="19"/>
        <v/>
      </c>
    </row>
    <row r="321" spans="2:45" x14ac:dyDescent="0.2">
      <c r="B321" s="8">
        <f t="shared" si="20"/>
        <v>300</v>
      </c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179"/>
      <c r="AL321" s="179"/>
      <c r="AM321" s="179"/>
      <c r="AN321" s="179"/>
      <c r="AO321" s="179"/>
      <c r="AP321" s="30"/>
      <c r="AQ321" s="75"/>
      <c r="AR321" s="2"/>
      <c r="AS321" s="1" t="str">
        <f t="shared" si="19"/>
        <v/>
      </c>
    </row>
    <row r="322" spans="2:45" x14ac:dyDescent="0.2">
      <c r="B322" s="8">
        <f t="shared" si="20"/>
        <v>301</v>
      </c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179"/>
      <c r="AL322" s="179"/>
      <c r="AM322" s="179"/>
      <c r="AN322" s="179"/>
      <c r="AO322" s="179"/>
      <c r="AP322" s="30"/>
      <c r="AQ322" s="75"/>
      <c r="AR322" s="2"/>
      <c r="AS322" s="1" t="str">
        <f t="shared" si="19"/>
        <v/>
      </c>
    </row>
    <row r="323" spans="2:45" x14ac:dyDescent="0.2">
      <c r="B323" s="8">
        <f t="shared" si="20"/>
        <v>302</v>
      </c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179"/>
      <c r="AL323" s="179"/>
      <c r="AM323" s="179"/>
      <c r="AN323" s="179"/>
      <c r="AO323" s="179"/>
      <c r="AP323" s="30"/>
      <c r="AQ323" s="75"/>
      <c r="AR323" s="2"/>
      <c r="AS323" s="1" t="str">
        <f t="shared" si="19"/>
        <v/>
      </c>
    </row>
    <row r="324" spans="2:45" x14ac:dyDescent="0.2">
      <c r="B324" s="8">
        <f t="shared" si="20"/>
        <v>303</v>
      </c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179"/>
      <c r="AL324" s="179"/>
      <c r="AM324" s="179"/>
      <c r="AN324" s="179"/>
      <c r="AO324" s="179"/>
      <c r="AP324" s="30"/>
      <c r="AQ324" s="75"/>
      <c r="AR324" s="2"/>
      <c r="AS324" s="1" t="str">
        <f t="shared" si="19"/>
        <v/>
      </c>
    </row>
    <row r="325" spans="2:45" x14ac:dyDescent="0.2">
      <c r="B325" s="8">
        <f t="shared" si="20"/>
        <v>304</v>
      </c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179"/>
      <c r="AL325" s="179"/>
      <c r="AM325" s="179"/>
      <c r="AN325" s="179"/>
      <c r="AO325" s="179"/>
      <c r="AP325" s="30"/>
      <c r="AQ325" s="75"/>
      <c r="AR325" s="2"/>
      <c r="AS325" s="1" t="str">
        <f t="shared" si="19"/>
        <v/>
      </c>
    </row>
    <row r="326" spans="2:45" x14ac:dyDescent="0.2">
      <c r="B326" s="8">
        <f t="shared" si="20"/>
        <v>305</v>
      </c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179"/>
      <c r="AL326" s="179"/>
      <c r="AM326" s="179"/>
      <c r="AN326" s="179"/>
      <c r="AO326" s="179"/>
      <c r="AP326" s="30"/>
      <c r="AQ326" s="75"/>
      <c r="AR326" s="2"/>
      <c r="AS326" s="1" t="str">
        <f t="shared" si="19"/>
        <v/>
      </c>
    </row>
    <row r="327" spans="2:45" x14ac:dyDescent="0.2">
      <c r="B327" s="8">
        <f t="shared" si="20"/>
        <v>306</v>
      </c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179"/>
      <c r="AL327" s="179"/>
      <c r="AM327" s="179"/>
      <c r="AN327" s="179"/>
      <c r="AO327" s="179"/>
      <c r="AP327" s="30"/>
      <c r="AQ327" s="75"/>
      <c r="AR327" s="2"/>
      <c r="AS327" s="1" t="str">
        <f t="shared" si="19"/>
        <v/>
      </c>
    </row>
    <row r="328" spans="2:45" x14ac:dyDescent="0.2">
      <c r="B328" s="8">
        <f t="shared" si="20"/>
        <v>307</v>
      </c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179"/>
      <c r="AL328" s="179"/>
      <c r="AM328" s="179"/>
      <c r="AN328" s="179"/>
      <c r="AO328" s="179"/>
      <c r="AP328" s="30"/>
      <c r="AQ328" s="75"/>
      <c r="AR328" s="2"/>
      <c r="AS328" s="1" t="str">
        <f t="shared" si="19"/>
        <v/>
      </c>
    </row>
    <row r="329" spans="2:45" x14ac:dyDescent="0.2">
      <c r="B329" s="8">
        <f t="shared" si="20"/>
        <v>308</v>
      </c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179"/>
      <c r="AL329" s="179"/>
      <c r="AM329" s="179"/>
      <c r="AN329" s="179"/>
      <c r="AO329" s="179"/>
      <c r="AP329" s="30"/>
      <c r="AQ329" s="75"/>
      <c r="AR329" s="2"/>
      <c r="AS329" s="1" t="str">
        <f t="shared" si="19"/>
        <v/>
      </c>
    </row>
    <row r="330" spans="2:45" x14ac:dyDescent="0.2">
      <c r="B330" s="8">
        <f t="shared" si="20"/>
        <v>309</v>
      </c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179"/>
      <c r="AL330" s="179"/>
      <c r="AM330" s="179"/>
      <c r="AN330" s="179"/>
      <c r="AO330" s="179"/>
      <c r="AP330" s="30"/>
      <c r="AQ330" s="75"/>
      <c r="AR330" s="2"/>
      <c r="AS330" s="1" t="str">
        <f t="shared" si="19"/>
        <v/>
      </c>
    </row>
    <row r="331" spans="2:45" x14ac:dyDescent="0.2">
      <c r="B331" s="8">
        <f t="shared" si="20"/>
        <v>310</v>
      </c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179"/>
      <c r="AL331" s="179"/>
      <c r="AM331" s="179"/>
      <c r="AN331" s="179"/>
      <c r="AO331" s="179"/>
      <c r="AP331" s="30"/>
      <c r="AQ331" s="75"/>
      <c r="AR331" s="2"/>
      <c r="AS331" s="1" t="str">
        <f t="shared" si="19"/>
        <v/>
      </c>
    </row>
    <row r="332" spans="2:45" x14ac:dyDescent="0.2">
      <c r="B332" s="8">
        <f t="shared" si="20"/>
        <v>311</v>
      </c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179"/>
      <c r="AL332" s="179"/>
      <c r="AM332" s="179"/>
      <c r="AN332" s="179"/>
      <c r="AO332" s="179"/>
      <c r="AP332" s="30"/>
      <c r="AQ332" s="75"/>
      <c r="AR332" s="2"/>
      <c r="AS332" s="1" t="str">
        <f t="shared" si="19"/>
        <v/>
      </c>
    </row>
    <row r="333" spans="2:45" x14ac:dyDescent="0.2">
      <c r="B333" s="8">
        <f t="shared" si="20"/>
        <v>312</v>
      </c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179"/>
      <c r="AL333" s="179"/>
      <c r="AM333" s="179"/>
      <c r="AN333" s="179"/>
      <c r="AO333" s="179"/>
      <c r="AP333" s="30"/>
      <c r="AQ333" s="75"/>
      <c r="AR333" s="2"/>
      <c r="AS333" s="1" t="str">
        <f t="shared" si="19"/>
        <v/>
      </c>
    </row>
    <row r="334" spans="2:45" x14ac:dyDescent="0.2">
      <c r="B334" s="8">
        <f t="shared" si="20"/>
        <v>313</v>
      </c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179"/>
      <c r="AL334" s="179"/>
      <c r="AM334" s="179"/>
      <c r="AN334" s="179"/>
      <c r="AO334" s="179"/>
      <c r="AP334" s="30"/>
      <c r="AQ334" s="75"/>
      <c r="AR334" s="2"/>
      <c r="AS334" s="1" t="str">
        <f t="shared" si="19"/>
        <v/>
      </c>
    </row>
    <row r="335" spans="2:45" x14ac:dyDescent="0.2">
      <c r="B335" s="8">
        <f t="shared" si="20"/>
        <v>314</v>
      </c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179"/>
      <c r="AL335" s="179"/>
      <c r="AM335" s="179"/>
      <c r="AN335" s="179"/>
      <c r="AO335" s="179"/>
      <c r="AP335" s="30"/>
      <c r="AQ335" s="75"/>
      <c r="AR335" s="2"/>
      <c r="AS335" s="1" t="str">
        <f t="shared" si="19"/>
        <v/>
      </c>
    </row>
    <row r="336" spans="2:45" x14ac:dyDescent="0.2">
      <c r="B336" s="8">
        <f t="shared" si="20"/>
        <v>315</v>
      </c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179"/>
      <c r="AL336" s="179"/>
      <c r="AM336" s="179"/>
      <c r="AN336" s="179"/>
      <c r="AO336" s="179"/>
      <c r="AP336" s="30"/>
      <c r="AQ336" s="75"/>
      <c r="AR336" s="2"/>
      <c r="AS336" s="1" t="str">
        <f t="shared" si="19"/>
        <v/>
      </c>
    </row>
    <row r="337" spans="2:45" x14ac:dyDescent="0.2">
      <c r="B337" s="8">
        <f t="shared" si="20"/>
        <v>316</v>
      </c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179"/>
      <c r="AL337" s="179"/>
      <c r="AM337" s="179"/>
      <c r="AN337" s="179"/>
      <c r="AO337" s="179"/>
      <c r="AP337" s="30"/>
      <c r="AQ337" s="75"/>
      <c r="AR337" s="2"/>
      <c r="AS337" s="1" t="str">
        <f t="shared" si="19"/>
        <v/>
      </c>
    </row>
    <row r="338" spans="2:45" x14ac:dyDescent="0.2">
      <c r="B338" s="8">
        <f t="shared" si="20"/>
        <v>317</v>
      </c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179"/>
      <c r="AL338" s="179"/>
      <c r="AM338" s="179"/>
      <c r="AN338" s="179"/>
      <c r="AO338" s="179"/>
      <c r="AP338" s="30"/>
      <c r="AQ338" s="75"/>
      <c r="AR338" s="2"/>
      <c r="AS338" s="1" t="str">
        <f t="shared" si="19"/>
        <v/>
      </c>
    </row>
    <row r="339" spans="2:45" x14ac:dyDescent="0.2">
      <c r="B339" s="8">
        <f t="shared" si="20"/>
        <v>318</v>
      </c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179"/>
      <c r="AL339" s="179"/>
      <c r="AM339" s="179"/>
      <c r="AN339" s="179"/>
      <c r="AO339" s="179"/>
      <c r="AP339" s="30"/>
      <c r="AQ339" s="75"/>
      <c r="AR339" s="2"/>
      <c r="AS339" s="1" t="str">
        <f t="shared" si="19"/>
        <v/>
      </c>
    </row>
    <row r="340" spans="2:45" x14ac:dyDescent="0.2">
      <c r="B340" s="8">
        <f t="shared" si="20"/>
        <v>319</v>
      </c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179"/>
      <c r="AL340" s="179"/>
      <c r="AM340" s="179"/>
      <c r="AN340" s="179"/>
      <c r="AO340" s="179"/>
      <c r="AP340" s="30"/>
      <c r="AQ340" s="75"/>
      <c r="AR340" s="2"/>
      <c r="AS340" s="1" t="str">
        <f t="shared" si="19"/>
        <v/>
      </c>
    </row>
    <row r="341" spans="2:45" x14ac:dyDescent="0.2">
      <c r="B341" s="8">
        <f t="shared" si="20"/>
        <v>320</v>
      </c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179"/>
      <c r="AL341" s="179"/>
      <c r="AM341" s="179"/>
      <c r="AN341" s="179"/>
      <c r="AO341" s="179"/>
      <c r="AP341" s="30"/>
      <c r="AQ341" s="75"/>
      <c r="AR341" s="2"/>
      <c r="AS341" s="1" t="str">
        <f t="shared" si="19"/>
        <v/>
      </c>
    </row>
    <row r="342" spans="2:45" x14ac:dyDescent="0.2">
      <c r="B342" s="8">
        <f t="shared" si="20"/>
        <v>321</v>
      </c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179"/>
      <c r="AL342" s="179"/>
      <c r="AM342" s="179"/>
      <c r="AN342" s="179"/>
      <c r="AO342" s="179"/>
      <c r="AP342" s="30"/>
      <c r="AQ342" s="75"/>
      <c r="AR342" s="2"/>
      <c r="AS342" s="1" t="str">
        <f t="shared" ref="AS342:AS405" si="21">IF(COUNT(C342:AH342)&gt;0,B342,"")</f>
        <v/>
      </c>
    </row>
    <row r="343" spans="2:45" x14ac:dyDescent="0.2">
      <c r="B343" s="8">
        <f t="shared" ref="B343:B406" si="22">ROW()-ROW(B$21)</f>
        <v>322</v>
      </c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179"/>
      <c r="AL343" s="179"/>
      <c r="AM343" s="179"/>
      <c r="AN343" s="179"/>
      <c r="AO343" s="179"/>
      <c r="AP343" s="30"/>
      <c r="AQ343" s="75"/>
      <c r="AR343" s="2"/>
      <c r="AS343" s="1" t="str">
        <f t="shared" si="21"/>
        <v/>
      </c>
    </row>
    <row r="344" spans="2:45" x14ac:dyDescent="0.2">
      <c r="B344" s="8">
        <f t="shared" si="22"/>
        <v>323</v>
      </c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179"/>
      <c r="AL344" s="179"/>
      <c r="AM344" s="179"/>
      <c r="AN344" s="179"/>
      <c r="AO344" s="179"/>
      <c r="AP344" s="30"/>
      <c r="AQ344" s="75"/>
      <c r="AR344" s="2"/>
      <c r="AS344" s="1" t="str">
        <f t="shared" si="21"/>
        <v/>
      </c>
    </row>
    <row r="345" spans="2:45" x14ac:dyDescent="0.2">
      <c r="B345" s="8">
        <f t="shared" si="22"/>
        <v>324</v>
      </c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179"/>
      <c r="AL345" s="179"/>
      <c r="AM345" s="179"/>
      <c r="AN345" s="179"/>
      <c r="AO345" s="179"/>
      <c r="AP345" s="30"/>
      <c r="AQ345" s="75"/>
      <c r="AR345" s="2"/>
      <c r="AS345" s="1" t="str">
        <f t="shared" si="21"/>
        <v/>
      </c>
    </row>
    <row r="346" spans="2:45" x14ac:dyDescent="0.2">
      <c r="B346" s="8">
        <f t="shared" si="22"/>
        <v>325</v>
      </c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179"/>
      <c r="AL346" s="179"/>
      <c r="AM346" s="179"/>
      <c r="AN346" s="179"/>
      <c r="AO346" s="179"/>
      <c r="AP346" s="30"/>
      <c r="AQ346" s="75"/>
      <c r="AR346" s="2"/>
      <c r="AS346" s="1" t="str">
        <f t="shared" si="21"/>
        <v/>
      </c>
    </row>
    <row r="347" spans="2:45" x14ac:dyDescent="0.2">
      <c r="B347" s="8">
        <f t="shared" si="22"/>
        <v>326</v>
      </c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179"/>
      <c r="AL347" s="179"/>
      <c r="AM347" s="179"/>
      <c r="AN347" s="179"/>
      <c r="AO347" s="179"/>
      <c r="AP347" s="30"/>
      <c r="AQ347" s="75"/>
      <c r="AR347" s="2"/>
      <c r="AS347" s="1" t="str">
        <f t="shared" si="21"/>
        <v/>
      </c>
    </row>
    <row r="348" spans="2:45" x14ac:dyDescent="0.2">
      <c r="B348" s="8">
        <f t="shared" si="22"/>
        <v>327</v>
      </c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179"/>
      <c r="AL348" s="179"/>
      <c r="AM348" s="179"/>
      <c r="AN348" s="179"/>
      <c r="AO348" s="179"/>
      <c r="AP348" s="30"/>
      <c r="AQ348" s="75"/>
      <c r="AR348" s="2"/>
      <c r="AS348" s="1" t="str">
        <f t="shared" si="21"/>
        <v/>
      </c>
    </row>
    <row r="349" spans="2:45" x14ac:dyDescent="0.2">
      <c r="B349" s="8">
        <f t="shared" si="22"/>
        <v>328</v>
      </c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179"/>
      <c r="AL349" s="179"/>
      <c r="AM349" s="179"/>
      <c r="AN349" s="179"/>
      <c r="AO349" s="179"/>
      <c r="AP349" s="30"/>
      <c r="AQ349" s="75"/>
      <c r="AR349" s="2"/>
      <c r="AS349" s="1" t="str">
        <f t="shared" si="21"/>
        <v/>
      </c>
    </row>
    <row r="350" spans="2:45" x14ac:dyDescent="0.2">
      <c r="B350" s="8">
        <f t="shared" si="22"/>
        <v>329</v>
      </c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179"/>
      <c r="AL350" s="179"/>
      <c r="AM350" s="179"/>
      <c r="AN350" s="179"/>
      <c r="AO350" s="179"/>
      <c r="AP350" s="30"/>
      <c r="AQ350" s="75"/>
      <c r="AR350" s="2"/>
      <c r="AS350" s="1" t="str">
        <f t="shared" si="21"/>
        <v/>
      </c>
    </row>
    <row r="351" spans="2:45" x14ac:dyDescent="0.2">
      <c r="B351" s="8">
        <f t="shared" si="22"/>
        <v>330</v>
      </c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179"/>
      <c r="AL351" s="179"/>
      <c r="AM351" s="179"/>
      <c r="AN351" s="179"/>
      <c r="AO351" s="179"/>
      <c r="AP351" s="30"/>
      <c r="AQ351" s="75"/>
      <c r="AR351" s="2"/>
      <c r="AS351" s="1" t="str">
        <f t="shared" si="21"/>
        <v/>
      </c>
    </row>
    <row r="352" spans="2:45" x14ac:dyDescent="0.2">
      <c r="B352" s="8">
        <f t="shared" si="22"/>
        <v>331</v>
      </c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179"/>
      <c r="AL352" s="179"/>
      <c r="AM352" s="179"/>
      <c r="AN352" s="179"/>
      <c r="AO352" s="179"/>
      <c r="AP352" s="30"/>
      <c r="AQ352" s="75"/>
      <c r="AR352" s="2"/>
      <c r="AS352" s="1" t="str">
        <f t="shared" si="21"/>
        <v/>
      </c>
    </row>
    <row r="353" spans="2:45" x14ac:dyDescent="0.2">
      <c r="B353" s="8">
        <f t="shared" si="22"/>
        <v>332</v>
      </c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179"/>
      <c r="AL353" s="179"/>
      <c r="AM353" s="179"/>
      <c r="AN353" s="179"/>
      <c r="AO353" s="179"/>
      <c r="AP353" s="30"/>
      <c r="AQ353" s="75"/>
      <c r="AR353" s="2"/>
      <c r="AS353" s="1" t="str">
        <f t="shared" si="21"/>
        <v/>
      </c>
    </row>
    <row r="354" spans="2:45" x14ac:dyDescent="0.2">
      <c r="B354" s="8">
        <f t="shared" si="22"/>
        <v>333</v>
      </c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179"/>
      <c r="AL354" s="179"/>
      <c r="AM354" s="179"/>
      <c r="AN354" s="179"/>
      <c r="AO354" s="179"/>
      <c r="AP354" s="30"/>
      <c r="AQ354" s="75"/>
      <c r="AR354" s="2"/>
      <c r="AS354" s="1" t="str">
        <f t="shared" si="21"/>
        <v/>
      </c>
    </row>
    <row r="355" spans="2:45" x14ac:dyDescent="0.2">
      <c r="B355" s="8">
        <f t="shared" si="22"/>
        <v>334</v>
      </c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179"/>
      <c r="AL355" s="179"/>
      <c r="AM355" s="179"/>
      <c r="AN355" s="179"/>
      <c r="AO355" s="179"/>
      <c r="AP355" s="30"/>
      <c r="AQ355" s="75"/>
      <c r="AR355" s="2"/>
      <c r="AS355" s="1" t="str">
        <f t="shared" si="21"/>
        <v/>
      </c>
    </row>
    <row r="356" spans="2:45" x14ac:dyDescent="0.2">
      <c r="B356" s="8">
        <f t="shared" si="22"/>
        <v>335</v>
      </c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179"/>
      <c r="AL356" s="179"/>
      <c r="AM356" s="179"/>
      <c r="AN356" s="179"/>
      <c r="AO356" s="179"/>
      <c r="AP356" s="30"/>
      <c r="AQ356" s="75"/>
      <c r="AR356" s="2"/>
      <c r="AS356" s="1" t="str">
        <f t="shared" si="21"/>
        <v/>
      </c>
    </row>
    <row r="357" spans="2:45" x14ac:dyDescent="0.2">
      <c r="B357" s="8">
        <f t="shared" si="22"/>
        <v>336</v>
      </c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179"/>
      <c r="AL357" s="179"/>
      <c r="AM357" s="179"/>
      <c r="AN357" s="179"/>
      <c r="AO357" s="179"/>
      <c r="AP357" s="30"/>
      <c r="AQ357" s="75"/>
      <c r="AR357" s="2"/>
      <c r="AS357" s="1" t="str">
        <f t="shared" si="21"/>
        <v/>
      </c>
    </row>
    <row r="358" spans="2:45" x14ac:dyDescent="0.2">
      <c r="B358" s="8">
        <f t="shared" si="22"/>
        <v>337</v>
      </c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179"/>
      <c r="AL358" s="179"/>
      <c r="AM358" s="179"/>
      <c r="AN358" s="179"/>
      <c r="AO358" s="179"/>
      <c r="AP358" s="30"/>
      <c r="AQ358" s="75"/>
      <c r="AR358" s="2"/>
      <c r="AS358" s="1" t="str">
        <f t="shared" si="21"/>
        <v/>
      </c>
    </row>
    <row r="359" spans="2:45" x14ac:dyDescent="0.2">
      <c r="B359" s="8">
        <f t="shared" si="22"/>
        <v>338</v>
      </c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179"/>
      <c r="AL359" s="179"/>
      <c r="AM359" s="179"/>
      <c r="AN359" s="179"/>
      <c r="AO359" s="179"/>
      <c r="AP359" s="30"/>
      <c r="AQ359" s="75"/>
      <c r="AR359" s="2"/>
      <c r="AS359" s="1" t="str">
        <f t="shared" si="21"/>
        <v/>
      </c>
    </row>
    <row r="360" spans="2:45" x14ac:dyDescent="0.2">
      <c r="B360" s="8">
        <f t="shared" si="22"/>
        <v>339</v>
      </c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179"/>
      <c r="AL360" s="179"/>
      <c r="AM360" s="179"/>
      <c r="AN360" s="179"/>
      <c r="AO360" s="179"/>
      <c r="AP360" s="30"/>
      <c r="AQ360" s="75"/>
      <c r="AR360" s="2"/>
      <c r="AS360" s="1" t="str">
        <f t="shared" si="21"/>
        <v/>
      </c>
    </row>
    <row r="361" spans="2:45" x14ac:dyDescent="0.2">
      <c r="B361" s="8">
        <f t="shared" si="22"/>
        <v>340</v>
      </c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179"/>
      <c r="AL361" s="179"/>
      <c r="AM361" s="179"/>
      <c r="AN361" s="179"/>
      <c r="AO361" s="179"/>
      <c r="AP361" s="30"/>
      <c r="AQ361" s="75"/>
      <c r="AR361" s="2"/>
      <c r="AS361" s="1" t="str">
        <f t="shared" si="21"/>
        <v/>
      </c>
    </row>
    <row r="362" spans="2:45" x14ac:dyDescent="0.2">
      <c r="B362" s="8">
        <f t="shared" si="22"/>
        <v>341</v>
      </c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179"/>
      <c r="AL362" s="179"/>
      <c r="AM362" s="179"/>
      <c r="AN362" s="179"/>
      <c r="AO362" s="179"/>
      <c r="AP362" s="30"/>
      <c r="AQ362" s="75"/>
      <c r="AR362" s="2"/>
      <c r="AS362" s="1" t="str">
        <f t="shared" si="21"/>
        <v/>
      </c>
    </row>
    <row r="363" spans="2:45" x14ac:dyDescent="0.2">
      <c r="B363" s="8">
        <f t="shared" si="22"/>
        <v>342</v>
      </c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179"/>
      <c r="AL363" s="179"/>
      <c r="AM363" s="179"/>
      <c r="AN363" s="179"/>
      <c r="AO363" s="179"/>
      <c r="AP363" s="30"/>
      <c r="AQ363" s="75"/>
      <c r="AR363" s="2"/>
      <c r="AS363" s="1" t="str">
        <f t="shared" si="21"/>
        <v/>
      </c>
    </row>
    <row r="364" spans="2:45" x14ac:dyDescent="0.2">
      <c r="B364" s="8">
        <f t="shared" si="22"/>
        <v>343</v>
      </c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179"/>
      <c r="AL364" s="179"/>
      <c r="AM364" s="179"/>
      <c r="AN364" s="179"/>
      <c r="AO364" s="179"/>
      <c r="AP364" s="30"/>
      <c r="AQ364" s="75"/>
      <c r="AR364" s="2"/>
      <c r="AS364" s="1" t="str">
        <f t="shared" si="21"/>
        <v/>
      </c>
    </row>
    <row r="365" spans="2:45" x14ac:dyDescent="0.2">
      <c r="B365" s="8">
        <f t="shared" si="22"/>
        <v>344</v>
      </c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179"/>
      <c r="AL365" s="179"/>
      <c r="AM365" s="179"/>
      <c r="AN365" s="179"/>
      <c r="AO365" s="179"/>
      <c r="AP365" s="30"/>
      <c r="AQ365" s="75"/>
      <c r="AR365" s="2"/>
      <c r="AS365" s="1" t="str">
        <f t="shared" si="21"/>
        <v/>
      </c>
    </row>
    <row r="366" spans="2:45" x14ac:dyDescent="0.2">
      <c r="B366" s="8">
        <f t="shared" si="22"/>
        <v>345</v>
      </c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179"/>
      <c r="AL366" s="179"/>
      <c r="AM366" s="179"/>
      <c r="AN366" s="179"/>
      <c r="AO366" s="179"/>
      <c r="AP366" s="30"/>
      <c r="AQ366" s="75"/>
      <c r="AR366" s="2"/>
      <c r="AS366" s="1" t="str">
        <f t="shared" si="21"/>
        <v/>
      </c>
    </row>
    <row r="367" spans="2:45" x14ac:dyDescent="0.2">
      <c r="B367" s="8">
        <f t="shared" si="22"/>
        <v>346</v>
      </c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179"/>
      <c r="AL367" s="179"/>
      <c r="AM367" s="179"/>
      <c r="AN367" s="179"/>
      <c r="AO367" s="179"/>
      <c r="AP367" s="30"/>
      <c r="AQ367" s="75"/>
      <c r="AR367" s="2"/>
      <c r="AS367" s="1" t="str">
        <f t="shared" si="21"/>
        <v/>
      </c>
    </row>
    <row r="368" spans="2:45" x14ac:dyDescent="0.2">
      <c r="B368" s="8">
        <f t="shared" si="22"/>
        <v>347</v>
      </c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179"/>
      <c r="AL368" s="179"/>
      <c r="AM368" s="179"/>
      <c r="AN368" s="179"/>
      <c r="AO368" s="179"/>
      <c r="AP368" s="30"/>
      <c r="AQ368" s="75"/>
      <c r="AR368" s="2"/>
      <c r="AS368" s="1" t="str">
        <f t="shared" si="21"/>
        <v/>
      </c>
    </row>
    <row r="369" spans="2:45" x14ac:dyDescent="0.2">
      <c r="B369" s="8">
        <f t="shared" si="22"/>
        <v>348</v>
      </c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179"/>
      <c r="AL369" s="179"/>
      <c r="AM369" s="179"/>
      <c r="AN369" s="179"/>
      <c r="AO369" s="179"/>
      <c r="AP369" s="30"/>
      <c r="AQ369" s="75"/>
      <c r="AR369" s="2"/>
      <c r="AS369" s="1" t="str">
        <f t="shared" si="21"/>
        <v/>
      </c>
    </row>
    <row r="370" spans="2:45" x14ac:dyDescent="0.2">
      <c r="B370" s="8">
        <f t="shared" si="22"/>
        <v>349</v>
      </c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179"/>
      <c r="AL370" s="179"/>
      <c r="AM370" s="179"/>
      <c r="AN370" s="179"/>
      <c r="AO370" s="179"/>
      <c r="AP370" s="30"/>
      <c r="AQ370" s="75"/>
      <c r="AR370" s="2"/>
      <c r="AS370" s="1" t="str">
        <f t="shared" si="21"/>
        <v/>
      </c>
    </row>
    <row r="371" spans="2:45" x14ac:dyDescent="0.2">
      <c r="B371" s="8">
        <f t="shared" si="22"/>
        <v>350</v>
      </c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179"/>
      <c r="AL371" s="179"/>
      <c r="AM371" s="179"/>
      <c r="AN371" s="179"/>
      <c r="AO371" s="179"/>
      <c r="AP371" s="30"/>
      <c r="AQ371" s="75"/>
      <c r="AR371" s="2"/>
      <c r="AS371" s="1" t="str">
        <f t="shared" si="21"/>
        <v/>
      </c>
    </row>
    <row r="372" spans="2:45" x14ac:dyDescent="0.2">
      <c r="B372" s="8">
        <f t="shared" si="22"/>
        <v>351</v>
      </c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179"/>
      <c r="AL372" s="179"/>
      <c r="AM372" s="179"/>
      <c r="AN372" s="179"/>
      <c r="AO372" s="179"/>
      <c r="AP372" s="30"/>
      <c r="AQ372" s="75"/>
      <c r="AR372" s="2"/>
      <c r="AS372" s="1" t="str">
        <f t="shared" si="21"/>
        <v/>
      </c>
    </row>
    <row r="373" spans="2:45" x14ac:dyDescent="0.2">
      <c r="B373" s="8">
        <f t="shared" si="22"/>
        <v>352</v>
      </c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179"/>
      <c r="AL373" s="179"/>
      <c r="AM373" s="179"/>
      <c r="AN373" s="179"/>
      <c r="AO373" s="179"/>
      <c r="AP373" s="30"/>
      <c r="AQ373" s="75"/>
      <c r="AR373" s="2"/>
      <c r="AS373" s="1" t="str">
        <f t="shared" si="21"/>
        <v/>
      </c>
    </row>
    <row r="374" spans="2:45" x14ac:dyDescent="0.2">
      <c r="B374" s="8">
        <f t="shared" si="22"/>
        <v>353</v>
      </c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179"/>
      <c r="AL374" s="179"/>
      <c r="AM374" s="179"/>
      <c r="AN374" s="179"/>
      <c r="AO374" s="179"/>
      <c r="AP374" s="30"/>
      <c r="AQ374" s="75"/>
      <c r="AR374" s="2"/>
      <c r="AS374" s="1" t="str">
        <f t="shared" si="21"/>
        <v/>
      </c>
    </row>
    <row r="375" spans="2:45" x14ac:dyDescent="0.2">
      <c r="B375" s="8">
        <f t="shared" si="22"/>
        <v>354</v>
      </c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179"/>
      <c r="AL375" s="179"/>
      <c r="AM375" s="179"/>
      <c r="AN375" s="179"/>
      <c r="AO375" s="179"/>
      <c r="AP375" s="30"/>
      <c r="AQ375" s="75"/>
      <c r="AR375" s="2"/>
      <c r="AS375" s="1" t="str">
        <f t="shared" si="21"/>
        <v/>
      </c>
    </row>
    <row r="376" spans="2:45" x14ac:dyDescent="0.2">
      <c r="B376" s="8">
        <f t="shared" si="22"/>
        <v>355</v>
      </c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179"/>
      <c r="AL376" s="179"/>
      <c r="AM376" s="179"/>
      <c r="AN376" s="179"/>
      <c r="AO376" s="179"/>
      <c r="AP376" s="30"/>
      <c r="AQ376" s="75"/>
      <c r="AR376" s="2"/>
      <c r="AS376" s="1" t="str">
        <f t="shared" si="21"/>
        <v/>
      </c>
    </row>
    <row r="377" spans="2:45" x14ac:dyDescent="0.2">
      <c r="B377" s="8">
        <f t="shared" si="22"/>
        <v>356</v>
      </c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179"/>
      <c r="AL377" s="179"/>
      <c r="AM377" s="179"/>
      <c r="AN377" s="179"/>
      <c r="AO377" s="179"/>
      <c r="AP377" s="30"/>
      <c r="AQ377" s="75"/>
      <c r="AR377" s="2"/>
      <c r="AS377" s="1" t="str">
        <f t="shared" si="21"/>
        <v/>
      </c>
    </row>
    <row r="378" spans="2:45" x14ac:dyDescent="0.2">
      <c r="B378" s="8">
        <f t="shared" si="22"/>
        <v>357</v>
      </c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179"/>
      <c r="AL378" s="179"/>
      <c r="AM378" s="179"/>
      <c r="AN378" s="179"/>
      <c r="AO378" s="179"/>
      <c r="AP378" s="30"/>
      <c r="AQ378" s="75"/>
      <c r="AR378" s="2"/>
      <c r="AS378" s="1" t="str">
        <f t="shared" si="21"/>
        <v/>
      </c>
    </row>
    <row r="379" spans="2:45" x14ac:dyDescent="0.2">
      <c r="B379" s="8">
        <f t="shared" si="22"/>
        <v>358</v>
      </c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179"/>
      <c r="AL379" s="179"/>
      <c r="AM379" s="179"/>
      <c r="AN379" s="179"/>
      <c r="AO379" s="179"/>
      <c r="AP379" s="30"/>
      <c r="AQ379" s="75"/>
      <c r="AR379" s="2"/>
      <c r="AS379" s="1" t="str">
        <f t="shared" si="21"/>
        <v/>
      </c>
    </row>
    <row r="380" spans="2:45" x14ac:dyDescent="0.2">
      <c r="B380" s="8">
        <f t="shared" si="22"/>
        <v>359</v>
      </c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179"/>
      <c r="AL380" s="179"/>
      <c r="AM380" s="179"/>
      <c r="AN380" s="179"/>
      <c r="AO380" s="179"/>
      <c r="AP380" s="30"/>
      <c r="AQ380" s="75"/>
      <c r="AR380" s="2"/>
      <c r="AS380" s="1" t="str">
        <f t="shared" si="21"/>
        <v/>
      </c>
    </row>
    <row r="381" spans="2:45" x14ac:dyDescent="0.2">
      <c r="B381" s="8">
        <f t="shared" si="22"/>
        <v>360</v>
      </c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179"/>
      <c r="AL381" s="179"/>
      <c r="AM381" s="179"/>
      <c r="AN381" s="179"/>
      <c r="AO381" s="179"/>
      <c r="AP381" s="30"/>
      <c r="AQ381" s="75"/>
      <c r="AR381" s="2"/>
      <c r="AS381" s="1" t="str">
        <f t="shared" si="21"/>
        <v/>
      </c>
    </row>
    <row r="382" spans="2:45" x14ac:dyDescent="0.2">
      <c r="B382" s="8">
        <f t="shared" si="22"/>
        <v>361</v>
      </c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179"/>
      <c r="AL382" s="179"/>
      <c r="AM382" s="179"/>
      <c r="AN382" s="179"/>
      <c r="AO382" s="179"/>
      <c r="AP382" s="30"/>
      <c r="AQ382" s="75"/>
      <c r="AR382" s="2"/>
      <c r="AS382" s="1" t="str">
        <f t="shared" si="21"/>
        <v/>
      </c>
    </row>
    <row r="383" spans="2:45" x14ac:dyDescent="0.2">
      <c r="B383" s="8">
        <f t="shared" si="22"/>
        <v>362</v>
      </c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179"/>
      <c r="AL383" s="179"/>
      <c r="AM383" s="179"/>
      <c r="AN383" s="179"/>
      <c r="AO383" s="179"/>
      <c r="AP383" s="30"/>
      <c r="AQ383" s="75"/>
      <c r="AR383" s="2"/>
      <c r="AS383" s="1" t="str">
        <f t="shared" si="21"/>
        <v/>
      </c>
    </row>
    <row r="384" spans="2:45" x14ac:dyDescent="0.2">
      <c r="B384" s="8">
        <f t="shared" si="22"/>
        <v>363</v>
      </c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179"/>
      <c r="AL384" s="179"/>
      <c r="AM384" s="179"/>
      <c r="AN384" s="179"/>
      <c r="AO384" s="179"/>
      <c r="AP384" s="30"/>
      <c r="AQ384" s="75"/>
      <c r="AR384" s="2"/>
      <c r="AS384" s="1" t="str">
        <f t="shared" si="21"/>
        <v/>
      </c>
    </row>
    <row r="385" spans="2:45" x14ac:dyDescent="0.2">
      <c r="B385" s="8">
        <f t="shared" si="22"/>
        <v>364</v>
      </c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179"/>
      <c r="AL385" s="179"/>
      <c r="AM385" s="179"/>
      <c r="AN385" s="179"/>
      <c r="AO385" s="179"/>
      <c r="AP385" s="30"/>
      <c r="AQ385" s="75"/>
      <c r="AR385" s="2"/>
      <c r="AS385" s="1" t="str">
        <f t="shared" si="21"/>
        <v/>
      </c>
    </row>
    <row r="386" spans="2:45" x14ac:dyDescent="0.2">
      <c r="B386" s="8">
        <f t="shared" si="22"/>
        <v>365</v>
      </c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179"/>
      <c r="AL386" s="179"/>
      <c r="AM386" s="179"/>
      <c r="AN386" s="179"/>
      <c r="AO386" s="179"/>
      <c r="AP386" s="30"/>
      <c r="AQ386" s="75"/>
      <c r="AR386" s="2"/>
      <c r="AS386" s="1" t="str">
        <f t="shared" si="21"/>
        <v/>
      </c>
    </row>
    <row r="387" spans="2:45" x14ac:dyDescent="0.2">
      <c r="B387" s="8">
        <f t="shared" si="22"/>
        <v>366</v>
      </c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179"/>
      <c r="AL387" s="179"/>
      <c r="AM387" s="179"/>
      <c r="AN387" s="179"/>
      <c r="AO387" s="179"/>
      <c r="AP387" s="30"/>
      <c r="AQ387" s="75"/>
      <c r="AR387" s="2"/>
      <c r="AS387" s="1" t="str">
        <f t="shared" si="21"/>
        <v/>
      </c>
    </row>
    <row r="388" spans="2:45" x14ac:dyDescent="0.2">
      <c r="B388" s="8">
        <f t="shared" si="22"/>
        <v>367</v>
      </c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179"/>
      <c r="AL388" s="179"/>
      <c r="AM388" s="179"/>
      <c r="AN388" s="179"/>
      <c r="AO388" s="179"/>
      <c r="AP388" s="30"/>
      <c r="AQ388" s="75"/>
      <c r="AR388" s="2"/>
      <c r="AS388" s="1" t="str">
        <f t="shared" si="21"/>
        <v/>
      </c>
    </row>
    <row r="389" spans="2:45" x14ac:dyDescent="0.2">
      <c r="B389" s="8">
        <f t="shared" si="22"/>
        <v>368</v>
      </c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179"/>
      <c r="AL389" s="179"/>
      <c r="AM389" s="179"/>
      <c r="AN389" s="179"/>
      <c r="AO389" s="179"/>
      <c r="AP389" s="30"/>
      <c r="AQ389" s="75"/>
      <c r="AR389" s="2"/>
      <c r="AS389" s="1" t="str">
        <f t="shared" si="21"/>
        <v/>
      </c>
    </row>
    <row r="390" spans="2:45" x14ac:dyDescent="0.2">
      <c r="B390" s="8">
        <f t="shared" si="22"/>
        <v>369</v>
      </c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179"/>
      <c r="AL390" s="179"/>
      <c r="AM390" s="179"/>
      <c r="AN390" s="179"/>
      <c r="AO390" s="179"/>
      <c r="AP390" s="30"/>
      <c r="AQ390" s="75"/>
      <c r="AR390" s="2"/>
      <c r="AS390" s="1" t="str">
        <f t="shared" si="21"/>
        <v/>
      </c>
    </row>
    <row r="391" spans="2:45" x14ac:dyDescent="0.2">
      <c r="B391" s="8">
        <f t="shared" si="22"/>
        <v>370</v>
      </c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179"/>
      <c r="AL391" s="179"/>
      <c r="AM391" s="179"/>
      <c r="AN391" s="179"/>
      <c r="AO391" s="179"/>
      <c r="AP391" s="30"/>
      <c r="AQ391" s="75"/>
      <c r="AR391" s="2"/>
      <c r="AS391" s="1" t="str">
        <f t="shared" si="21"/>
        <v/>
      </c>
    </row>
    <row r="392" spans="2:45" x14ac:dyDescent="0.2">
      <c r="B392" s="8">
        <f t="shared" si="22"/>
        <v>371</v>
      </c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179"/>
      <c r="AL392" s="179"/>
      <c r="AM392" s="179"/>
      <c r="AN392" s="179"/>
      <c r="AO392" s="179"/>
      <c r="AP392" s="30"/>
      <c r="AQ392" s="75"/>
      <c r="AR392" s="2"/>
      <c r="AS392" s="1" t="str">
        <f t="shared" si="21"/>
        <v/>
      </c>
    </row>
    <row r="393" spans="2:45" x14ac:dyDescent="0.2">
      <c r="B393" s="8">
        <f t="shared" si="22"/>
        <v>372</v>
      </c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179"/>
      <c r="AL393" s="179"/>
      <c r="AM393" s="179"/>
      <c r="AN393" s="179"/>
      <c r="AO393" s="179"/>
      <c r="AP393" s="30"/>
      <c r="AQ393" s="75"/>
      <c r="AR393" s="2"/>
      <c r="AS393" s="1" t="str">
        <f t="shared" si="21"/>
        <v/>
      </c>
    </row>
    <row r="394" spans="2:45" x14ac:dyDescent="0.2">
      <c r="B394" s="8">
        <f t="shared" si="22"/>
        <v>373</v>
      </c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179"/>
      <c r="AL394" s="179"/>
      <c r="AM394" s="179"/>
      <c r="AN394" s="179"/>
      <c r="AO394" s="179"/>
      <c r="AP394" s="30"/>
      <c r="AQ394" s="75"/>
      <c r="AR394" s="2"/>
      <c r="AS394" s="1" t="str">
        <f t="shared" si="21"/>
        <v/>
      </c>
    </row>
    <row r="395" spans="2:45" x14ac:dyDescent="0.2">
      <c r="B395" s="8">
        <f t="shared" si="22"/>
        <v>374</v>
      </c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179"/>
      <c r="AL395" s="179"/>
      <c r="AM395" s="179"/>
      <c r="AN395" s="179"/>
      <c r="AO395" s="179"/>
      <c r="AP395" s="30"/>
      <c r="AQ395" s="75"/>
      <c r="AR395" s="2"/>
      <c r="AS395" s="1" t="str">
        <f t="shared" si="21"/>
        <v/>
      </c>
    </row>
    <row r="396" spans="2:45" x14ac:dyDescent="0.2">
      <c r="B396" s="8">
        <f t="shared" si="22"/>
        <v>375</v>
      </c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179"/>
      <c r="AL396" s="179"/>
      <c r="AM396" s="179"/>
      <c r="AN396" s="179"/>
      <c r="AO396" s="179"/>
      <c r="AP396" s="30"/>
      <c r="AQ396" s="75"/>
      <c r="AR396" s="2"/>
      <c r="AS396" s="1" t="str">
        <f t="shared" si="21"/>
        <v/>
      </c>
    </row>
    <row r="397" spans="2:45" x14ac:dyDescent="0.2">
      <c r="B397" s="8">
        <f t="shared" si="22"/>
        <v>376</v>
      </c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179"/>
      <c r="AL397" s="179"/>
      <c r="AM397" s="179"/>
      <c r="AN397" s="179"/>
      <c r="AO397" s="179"/>
      <c r="AP397" s="30"/>
      <c r="AQ397" s="75"/>
      <c r="AR397" s="2"/>
      <c r="AS397" s="1" t="str">
        <f t="shared" si="21"/>
        <v/>
      </c>
    </row>
    <row r="398" spans="2:45" x14ac:dyDescent="0.2">
      <c r="B398" s="8">
        <f t="shared" si="22"/>
        <v>377</v>
      </c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179"/>
      <c r="AL398" s="179"/>
      <c r="AM398" s="179"/>
      <c r="AN398" s="179"/>
      <c r="AO398" s="179"/>
      <c r="AP398" s="30"/>
      <c r="AQ398" s="75"/>
      <c r="AR398" s="2"/>
      <c r="AS398" s="1" t="str">
        <f t="shared" si="21"/>
        <v/>
      </c>
    </row>
    <row r="399" spans="2:45" x14ac:dyDescent="0.2">
      <c r="B399" s="8">
        <f t="shared" si="22"/>
        <v>378</v>
      </c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179"/>
      <c r="AL399" s="179"/>
      <c r="AM399" s="179"/>
      <c r="AN399" s="179"/>
      <c r="AO399" s="179"/>
      <c r="AP399" s="30"/>
      <c r="AQ399" s="75"/>
      <c r="AR399" s="2"/>
      <c r="AS399" s="1" t="str">
        <f t="shared" si="21"/>
        <v/>
      </c>
    </row>
    <row r="400" spans="2:45" x14ac:dyDescent="0.2">
      <c r="B400" s="8">
        <f t="shared" si="22"/>
        <v>379</v>
      </c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179"/>
      <c r="AL400" s="179"/>
      <c r="AM400" s="179"/>
      <c r="AN400" s="179"/>
      <c r="AO400" s="179"/>
      <c r="AP400" s="30"/>
      <c r="AQ400" s="75"/>
      <c r="AR400" s="2"/>
      <c r="AS400" s="1" t="str">
        <f t="shared" si="21"/>
        <v/>
      </c>
    </row>
    <row r="401" spans="2:45" x14ac:dyDescent="0.2">
      <c r="B401" s="8">
        <f t="shared" si="22"/>
        <v>380</v>
      </c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179"/>
      <c r="AL401" s="179"/>
      <c r="AM401" s="179"/>
      <c r="AN401" s="179"/>
      <c r="AO401" s="179"/>
      <c r="AP401" s="30"/>
      <c r="AQ401" s="75"/>
      <c r="AR401" s="2"/>
      <c r="AS401" s="1" t="str">
        <f t="shared" si="21"/>
        <v/>
      </c>
    </row>
    <row r="402" spans="2:45" x14ac:dyDescent="0.2">
      <c r="B402" s="8">
        <f t="shared" si="22"/>
        <v>381</v>
      </c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179"/>
      <c r="AL402" s="179"/>
      <c r="AM402" s="179"/>
      <c r="AN402" s="179"/>
      <c r="AO402" s="179"/>
      <c r="AP402" s="30"/>
      <c r="AQ402" s="75"/>
      <c r="AR402" s="2"/>
      <c r="AS402" s="1" t="str">
        <f t="shared" si="21"/>
        <v/>
      </c>
    </row>
    <row r="403" spans="2:45" x14ac:dyDescent="0.2">
      <c r="B403" s="8">
        <f t="shared" si="22"/>
        <v>382</v>
      </c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179"/>
      <c r="AL403" s="179"/>
      <c r="AM403" s="179"/>
      <c r="AN403" s="179"/>
      <c r="AO403" s="179"/>
      <c r="AP403" s="30"/>
      <c r="AQ403" s="75"/>
      <c r="AR403" s="2"/>
      <c r="AS403" s="1" t="str">
        <f t="shared" si="21"/>
        <v/>
      </c>
    </row>
    <row r="404" spans="2:45" x14ac:dyDescent="0.2">
      <c r="B404" s="8">
        <f t="shared" si="22"/>
        <v>383</v>
      </c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179"/>
      <c r="AL404" s="179"/>
      <c r="AM404" s="179"/>
      <c r="AN404" s="179"/>
      <c r="AO404" s="179"/>
      <c r="AP404" s="30"/>
      <c r="AQ404" s="75"/>
      <c r="AR404" s="2"/>
      <c r="AS404" s="1" t="str">
        <f t="shared" si="21"/>
        <v/>
      </c>
    </row>
    <row r="405" spans="2:45" x14ac:dyDescent="0.2">
      <c r="B405" s="8">
        <f t="shared" si="22"/>
        <v>384</v>
      </c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179"/>
      <c r="AL405" s="179"/>
      <c r="AM405" s="179"/>
      <c r="AN405" s="179"/>
      <c r="AO405" s="179"/>
      <c r="AP405" s="30"/>
      <c r="AQ405" s="75"/>
      <c r="AR405" s="2"/>
      <c r="AS405" s="1" t="str">
        <f t="shared" si="21"/>
        <v/>
      </c>
    </row>
    <row r="406" spans="2:45" x14ac:dyDescent="0.2">
      <c r="B406" s="8">
        <f t="shared" si="22"/>
        <v>385</v>
      </c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179"/>
      <c r="AL406" s="179"/>
      <c r="AM406" s="179"/>
      <c r="AN406" s="179"/>
      <c r="AO406" s="179"/>
      <c r="AP406" s="30"/>
      <c r="AQ406" s="75"/>
      <c r="AR406" s="2"/>
      <c r="AS406" s="1" t="str">
        <f t="shared" ref="AS406:AS469" si="23">IF(COUNT(C406:AH406)&gt;0,B406,"")</f>
        <v/>
      </c>
    </row>
    <row r="407" spans="2:45" x14ac:dyDescent="0.2">
      <c r="B407" s="8">
        <f t="shared" ref="B407:B470" si="24">ROW()-ROW(B$21)</f>
        <v>386</v>
      </c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179"/>
      <c r="AL407" s="179"/>
      <c r="AM407" s="179"/>
      <c r="AN407" s="179"/>
      <c r="AO407" s="179"/>
      <c r="AP407" s="30"/>
      <c r="AQ407" s="75"/>
      <c r="AR407" s="2"/>
      <c r="AS407" s="1" t="str">
        <f t="shared" si="23"/>
        <v/>
      </c>
    </row>
    <row r="408" spans="2:45" x14ac:dyDescent="0.2">
      <c r="B408" s="8">
        <f t="shared" si="24"/>
        <v>387</v>
      </c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179"/>
      <c r="AL408" s="179"/>
      <c r="AM408" s="179"/>
      <c r="AN408" s="179"/>
      <c r="AO408" s="179"/>
      <c r="AP408" s="30"/>
      <c r="AQ408" s="75"/>
      <c r="AR408" s="2"/>
      <c r="AS408" s="1" t="str">
        <f t="shared" si="23"/>
        <v/>
      </c>
    </row>
    <row r="409" spans="2:45" x14ac:dyDescent="0.2">
      <c r="B409" s="8">
        <f t="shared" si="24"/>
        <v>388</v>
      </c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179"/>
      <c r="AL409" s="179"/>
      <c r="AM409" s="179"/>
      <c r="AN409" s="179"/>
      <c r="AO409" s="179"/>
      <c r="AP409" s="30"/>
      <c r="AQ409" s="75"/>
      <c r="AR409" s="2"/>
      <c r="AS409" s="1" t="str">
        <f t="shared" si="23"/>
        <v/>
      </c>
    </row>
    <row r="410" spans="2:45" x14ac:dyDescent="0.2">
      <c r="B410" s="8">
        <f t="shared" si="24"/>
        <v>389</v>
      </c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179"/>
      <c r="AL410" s="179"/>
      <c r="AM410" s="179"/>
      <c r="AN410" s="179"/>
      <c r="AO410" s="179"/>
      <c r="AP410" s="30"/>
      <c r="AQ410" s="75"/>
      <c r="AR410" s="2"/>
      <c r="AS410" s="1" t="str">
        <f t="shared" si="23"/>
        <v/>
      </c>
    </row>
    <row r="411" spans="2:45" x14ac:dyDescent="0.2">
      <c r="B411" s="8">
        <f t="shared" si="24"/>
        <v>390</v>
      </c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179"/>
      <c r="AL411" s="179"/>
      <c r="AM411" s="179"/>
      <c r="AN411" s="179"/>
      <c r="AO411" s="179"/>
      <c r="AP411" s="30"/>
      <c r="AQ411" s="75"/>
      <c r="AR411" s="2"/>
      <c r="AS411" s="1" t="str">
        <f t="shared" si="23"/>
        <v/>
      </c>
    </row>
    <row r="412" spans="2:45" x14ac:dyDescent="0.2">
      <c r="B412" s="8">
        <f t="shared" si="24"/>
        <v>391</v>
      </c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179"/>
      <c r="AL412" s="179"/>
      <c r="AM412" s="179"/>
      <c r="AN412" s="179"/>
      <c r="AO412" s="179"/>
      <c r="AP412" s="30"/>
      <c r="AQ412" s="75"/>
      <c r="AR412" s="2"/>
      <c r="AS412" s="1" t="str">
        <f t="shared" si="23"/>
        <v/>
      </c>
    </row>
    <row r="413" spans="2:45" x14ac:dyDescent="0.2">
      <c r="B413" s="8">
        <f t="shared" si="24"/>
        <v>392</v>
      </c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179"/>
      <c r="AL413" s="179"/>
      <c r="AM413" s="179"/>
      <c r="AN413" s="179"/>
      <c r="AO413" s="179"/>
      <c r="AP413" s="30"/>
      <c r="AQ413" s="75"/>
      <c r="AR413" s="2"/>
      <c r="AS413" s="1" t="str">
        <f t="shared" si="23"/>
        <v/>
      </c>
    </row>
    <row r="414" spans="2:45" x14ac:dyDescent="0.2">
      <c r="B414" s="8">
        <f t="shared" si="24"/>
        <v>393</v>
      </c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179"/>
      <c r="AL414" s="179"/>
      <c r="AM414" s="179"/>
      <c r="AN414" s="179"/>
      <c r="AO414" s="179"/>
      <c r="AP414" s="30"/>
      <c r="AQ414" s="75"/>
      <c r="AR414" s="2"/>
      <c r="AS414" s="1" t="str">
        <f t="shared" si="23"/>
        <v/>
      </c>
    </row>
    <row r="415" spans="2:45" x14ac:dyDescent="0.2">
      <c r="B415" s="8">
        <f t="shared" si="24"/>
        <v>394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179"/>
      <c r="AL415" s="179"/>
      <c r="AM415" s="179"/>
      <c r="AN415" s="179"/>
      <c r="AO415" s="179"/>
      <c r="AP415" s="30"/>
      <c r="AQ415" s="75"/>
      <c r="AR415" s="2"/>
      <c r="AS415" s="1" t="str">
        <f t="shared" si="23"/>
        <v/>
      </c>
    </row>
    <row r="416" spans="2:45" x14ac:dyDescent="0.2">
      <c r="B416" s="8">
        <f t="shared" si="24"/>
        <v>395</v>
      </c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179"/>
      <c r="AL416" s="179"/>
      <c r="AM416" s="179"/>
      <c r="AN416" s="179"/>
      <c r="AO416" s="179"/>
      <c r="AP416" s="30"/>
      <c r="AQ416" s="75"/>
      <c r="AR416" s="2"/>
      <c r="AS416" s="1" t="str">
        <f t="shared" si="23"/>
        <v/>
      </c>
    </row>
    <row r="417" spans="2:45" x14ac:dyDescent="0.2">
      <c r="B417" s="8">
        <f t="shared" si="24"/>
        <v>396</v>
      </c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179"/>
      <c r="AL417" s="179"/>
      <c r="AM417" s="179"/>
      <c r="AN417" s="179"/>
      <c r="AO417" s="179"/>
      <c r="AP417" s="30"/>
      <c r="AQ417" s="75"/>
      <c r="AR417" s="2"/>
      <c r="AS417" s="1" t="str">
        <f t="shared" si="23"/>
        <v/>
      </c>
    </row>
    <row r="418" spans="2:45" x14ac:dyDescent="0.2">
      <c r="B418" s="8">
        <f t="shared" si="24"/>
        <v>397</v>
      </c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179"/>
      <c r="AL418" s="179"/>
      <c r="AM418" s="179"/>
      <c r="AN418" s="179"/>
      <c r="AO418" s="179"/>
      <c r="AP418" s="30"/>
      <c r="AQ418" s="75"/>
      <c r="AR418" s="2"/>
      <c r="AS418" s="1" t="str">
        <f t="shared" si="23"/>
        <v/>
      </c>
    </row>
    <row r="419" spans="2:45" x14ac:dyDescent="0.2">
      <c r="B419" s="8">
        <f t="shared" si="24"/>
        <v>398</v>
      </c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179"/>
      <c r="AL419" s="179"/>
      <c r="AM419" s="179"/>
      <c r="AN419" s="179"/>
      <c r="AO419" s="179"/>
      <c r="AP419" s="30"/>
      <c r="AQ419" s="75"/>
      <c r="AR419" s="2"/>
      <c r="AS419" s="1" t="str">
        <f t="shared" si="23"/>
        <v/>
      </c>
    </row>
    <row r="420" spans="2:45" x14ac:dyDescent="0.2">
      <c r="B420" s="8">
        <f t="shared" si="24"/>
        <v>399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179"/>
      <c r="AL420" s="179"/>
      <c r="AM420" s="179"/>
      <c r="AN420" s="179"/>
      <c r="AO420" s="179"/>
      <c r="AP420" s="30"/>
      <c r="AQ420" s="75"/>
      <c r="AR420" s="2"/>
      <c r="AS420" s="1" t="str">
        <f t="shared" si="23"/>
        <v/>
      </c>
    </row>
    <row r="421" spans="2:45" x14ac:dyDescent="0.2">
      <c r="B421" s="8">
        <f t="shared" si="24"/>
        <v>400</v>
      </c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179"/>
      <c r="AL421" s="179"/>
      <c r="AM421" s="179"/>
      <c r="AN421" s="179"/>
      <c r="AO421" s="179"/>
      <c r="AP421" s="30"/>
      <c r="AQ421" s="75"/>
      <c r="AR421" s="2"/>
      <c r="AS421" s="1" t="str">
        <f t="shared" si="23"/>
        <v/>
      </c>
    </row>
    <row r="422" spans="2:45" x14ac:dyDescent="0.2">
      <c r="B422" s="8">
        <f t="shared" si="24"/>
        <v>401</v>
      </c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179"/>
      <c r="AL422" s="179"/>
      <c r="AM422" s="179"/>
      <c r="AN422" s="179"/>
      <c r="AO422" s="179"/>
      <c r="AP422" s="30"/>
      <c r="AQ422" s="75"/>
      <c r="AR422" s="2"/>
      <c r="AS422" s="1" t="str">
        <f t="shared" si="23"/>
        <v/>
      </c>
    </row>
    <row r="423" spans="2:45" x14ac:dyDescent="0.2">
      <c r="B423" s="8">
        <f t="shared" si="24"/>
        <v>402</v>
      </c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179"/>
      <c r="AL423" s="179"/>
      <c r="AM423" s="179"/>
      <c r="AN423" s="179"/>
      <c r="AO423" s="179"/>
      <c r="AP423" s="30"/>
      <c r="AQ423" s="75"/>
      <c r="AR423" s="2"/>
      <c r="AS423" s="1" t="str">
        <f t="shared" si="23"/>
        <v/>
      </c>
    </row>
    <row r="424" spans="2:45" x14ac:dyDescent="0.2">
      <c r="B424" s="8">
        <f t="shared" si="24"/>
        <v>403</v>
      </c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179"/>
      <c r="AL424" s="179"/>
      <c r="AM424" s="179"/>
      <c r="AN424" s="179"/>
      <c r="AO424" s="179"/>
      <c r="AP424" s="30"/>
      <c r="AQ424" s="75"/>
      <c r="AR424" s="2"/>
      <c r="AS424" s="1" t="str">
        <f t="shared" si="23"/>
        <v/>
      </c>
    </row>
    <row r="425" spans="2:45" x14ac:dyDescent="0.2">
      <c r="B425" s="8">
        <f t="shared" si="24"/>
        <v>404</v>
      </c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179"/>
      <c r="AL425" s="179"/>
      <c r="AM425" s="179"/>
      <c r="AN425" s="179"/>
      <c r="AO425" s="179"/>
      <c r="AP425" s="30"/>
      <c r="AQ425" s="75"/>
      <c r="AR425" s="2"/>
      <c r="AS425" s="1" t="str">
        <f t="shared" si="23"/>
        <v/>
      </c>
    </row>
    <row r="426" spans="2:45" x14ac:dyDescent="0.2">
      <c r="B426" s="8">
        <f t="shared" si="24"/>
        <v>405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179"/>
      <c r="AL426" s="179"/>
      <c r="AM426" s="179"/>
      <c r="AN426" s="179"/>
      <c r="AO426" s="179"/>
      <c r="AP426" s="30"/>
      <c r="AQ426" s="75"/>
      <c r="AR426" s="2"/>
      <c r="AS426" s="1" t="str">
        <f t="shared" si="23"/>
        <v/>
      </c>
    </row>
    <row r="427" spans="2:45" x14ac:dyDescent="0.2">
      <c r="B427" s="8">
        <f t="shared" si="24"/>
        <v>406</v>
      </c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179"/>
      <c r="AL427" s="179"/>
      <c r="AM427" s="179"/>
      <c r="AN427" s="179"/>
      <c r="AO427" s="179"/>
      <c r="AP427" s="30"/>
      <c r="AQ427" s="75"/>
      <c r="AR427" s="2"/>
      <c r="AS427" s="1" t="str">
        <f t="shared" si="23"/>
        <v/>
      </c>
    </row>
    <row r="428" spans="2:45" x14ac:dyDescent="0.2">
      <c r="B428" s="8">
        <f t="shared" si="24"/>
        <v>407</v>
      </c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179"/>
      <c r="AL428" s="179"/>
      <c r="AM428" s="179"/>
      <c r="AN428" s="179"/>
      <c r="AO428" s="179"/>
      <c r="AP428" s="30"/>
      <c r="AQ428" s="75"/>
      <c r="AR428" s="2"/>
      <c r="AS428" s="1" t="str">
        <f t="shared" si="23"/>
        <v/>
      </c>
    </row>
    <row r="429" spans="2:45" x14ac:dyDescent="0.2">
      <c r="B429" s="8">
        <f t="shared" si="24"/>
        <v>408</v>
      </c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179"/>
      <c r="AL429" s="179"/>
      <c r="AM429" s="179"/>
      <c r="AN429" s="179"/>
      <c r="AO429" s="179"/>
      <c r="AP429" s="30"/>
      <c r="AQ429" s="75"/>
      <c r="AR429" s="2"/>
      <c r="AS429" s="1" t="str">
        <f t="shared" si="23"/>
        <v/>
      </c>
    </row>
    <row r="430" spans="2:45" x14ac:dyDescent="0.2">
      <c r="B430" s="8">
        <f t="shared" si="24"/>
        <v>409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179"/>
      <c r="AL430" s="179"/>
      <c r="AM430" s="179"/>
      <c r="AN430" s="179"/>
      <c r="AO430" s="179"/>
      <c r="AP430" s="30"/>
      <c r="AQ430" s="75"/>
      <c r="AR430" s="2"/>
      <c r="AS430" s="1" t="str">
        <f t="shared" si="23"/>
        <v/>
      </c>
    </row>
    <row r="431" spans="2:45" x14ac:dyDescent="0.2">
      <c r="B431" s="8">
        <f t="shared" si="24"/>
        <v>410</v>
      </c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179"/>
      <c r="AL431" s="179"/>
      <c r="AM431" s="179"/>
      <c r="AN431" s="179"/>
      <c r="AO431" s="179"/>
      <c r="AP431" s="30"/>
      <c r="AQ431" s="75"/>
      <c r="AR431" s="2"/>
      <c r="AS431" s="1" t="str">
        <f t="shared" si="23"/>
        <v/>
      </c>
    </row>
    <row r="432" spans="2:45" x14ac:dyDescent="0.2">
      <c r="B432" s="8">
        <f t="shared" si="24"/>
        <v>411</v>
      </c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179"/>
      <c r="AL432" s="179"/>
      <c r="AM432" s="179"/>
      <c r="AN432" s="179"/>
      <c r="AO432" s="179"/>
      <c r="AP432" s="30"/>
      <c r="AQ432" s="75"/>
      <c r="AR432" s="2"/>
      <c r="AS432" s="1" t="str">
        <f t="shared" si="23"/>
        <v/>
      </c>
    </row>
    <row r="433" spans="2:45" x14ac:dyDescent="0.2">
      <c r="B433" s="8">
        <f t="shared" si="24"/>
        <v>412</v>
      </c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179"/>
      <c r="AL433" s="179"/>
      <c r="AM433" s="179"/>
      <c r="AN433" s="179"/>
      <c r="AO433" s="179"/>
      <c r="AP433" s="30"/>
      <c r="AQ433" s="75"/>
      <c r="AR433" s="2"/>
      <c r="AS433" s="1" t="str">
        <f t="shared" si="23"/>
        <v/>
      </c>
    </row>
    <row r="434" spans="2:45" x14ac:dyDescent="0.2">
      <c r="B434" s="8">
        <f t="shared" si="24"/>
        <v>413</v>
      </c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179"/>
      <c r="AL434" s="179"/>
      <c r="AM434" s="179"/>
      <c r="AN434" s="179"/>
      <c r="AO434" s="179"/>
      <c r="AP434" s="30"/>
      <c r="AQ434" s="75"/>
      <c r="AR434" s="2"/>
      <c r="AS434" s="1" t="str">
        <f t="shared" si="23"/>
        <v/>
      </c>
    </row>
    <row r="435" spans="2:45" x14ac:dyDescent="0.2">
      <c r="B435" s="8">
        <f t="shared" si="24"/>
        <v>414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179"/>
      <c r="AL435" s="179"/>
      <c r="AM435" s="179"/>
      <c r="AN435" s="179"/>
      <c r="AO435" s="179"/>
      <c r="AP435" s="30"/>
      <c r="AQ435" s="75"/>
      <c r="AR435" s="2"/>
      <c r="AS435" s="1" t="str">
        <f t="shared" si="23"/>
        <v/>
      </c>
    </row>
    <row r="436" spans="2:45" x14ac:dyDescent="0.2">
      <c r="B436" s="8">
        <f t="shared" si="24"/>
        <v>415</v>
      </c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179"/>
      <c r="AL436" s="179"/>
      <c r="AM436" s="179"/>
      <c r="AN436" s="179"/>
      <c r="AO436" s="179"/>
      <c r="AP436" s="30"/>
      <c r="AQ436" s="75"/>
      <c r="AR436" s="2"/>
      <c r="AS436" s="1" t="str">
        <f t="shared" si="23"/>
        <v/>
      </c>
    </row>
    <row r="437" spans="2:45" x14ac:dyDescent="0.2">
      <c r="B437" s="8">
        <f t="shared" si="24"/>
        <v>416</v>
      </c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179"/>
      <c r="AL437" s="179"/>
      <c r="AM437" s="179"/>
      <c r="AN437" s="179"/>
      <c r="AO437" s="179"/>
      <c r="AP437" s="30"/>
      <c r="AQ437" s="75"/>
      <c r="AR437" s="2"/>
      <c r="AS437" s="1" t="str">
        <f t="shared" si="23"/>
        <v/>
      </c>
    </row>
    <row r="438" spans="2:45" x14ac:dyDescent="0.2">
      <c r="B438" s="8">
        <f t="shared" si="24"/>
        <v>417</v>
      </c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179"/>
      <c r="AL438" s="179"/>
      <c r="AM438" s="179"/>
      <c r="AN438" s="179"/>
      <c r="AO438" s="179"/>
      <c r="AP438" s="30"/>
      <c r="AQ438" s="75"/>
      <c r="AR438" s="2"/>
      <c r="AS438" s="1" t="str">
        <f t="shared" si="23"/>
        <v/>
      </c>
    </row>
    <row r="439" spans="2:45" x14ac:dyDescent="0.2">
      <c r="B439" s="8">
        <f t="shared" si="24"/>
        <v>418</v>
      </c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179"/>
      <c r="AL439" s="179"/>
      <c r="AM439" s="179"/>
      <c r="AN439" s="179"/>
      <c r="AO439" s="179"/>
      <c r="AP439" s="30"/>
      <c r="AQ439" s="75"/>
      <c r="AR439" s="2"/>
      <c r="AS439" s="1" t="str">
        <f t="shared" si="23"/>
        <v/>
      </c>
    </row>
    <row r="440" spans="2:45" x14ac:dyDescent="0.2">
      <c r="B440" s="8">
        <f t="shared" si="24"/>
        <v>419</v>
      </c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179"/>
      <c r="AL440" s="179"/>
      <c r="AM440" s="179"/>
      <c r="AN440" s="179"/>
      <c r="AO440" s="179"/>
      <c r="AP440" s="30"/>
      <c r="AQ440" s="75"/>
      <c r="AR440" s="2"/>
      <c r="AS440" s="1" t="str">
        <f t="shared" si="23"/>
        <v/>
      </c>
    </row>
    <row r="441" spans="2:45" x14ac:dyDescent="0.2">
      <c r="B441" s="8">
        <f t="shared" si="24"/>
        <v>420</v>
      </c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179"/>
      <c r="AL441" s="179"/>
      <c r="AM441" s="179"/>
      <c r="AN441" s="179"/>
      <c r="AO441" s="179"/>
      <c r="AP441" s="30"/>
      <c r="AQ441" s="75"/>
      <c r="AR441" s="2"/>
      <c r="AS441" s="1" t="str">
        <f t="shared" si="23"/>
        <v/>
      </c>
    </row>
    <row r="442" spans="2:45" x14ac:dyDescent="0.2">
      <c r="B442" s="8">
        <f t="shared" si="24"/>
        <v>421</v>
      </c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179"/>
      <c r="AL442" s="179"/>
      <c r="AM442" s="179"/>
      <c r="AN442" s="179"/>
      <c r="AO442" s="179"/>
      <c r="AP442" s="30"/>
      <c r="AQ442" s="75"/>
      <c r="AR442" s="2"/>
      <c r="AS442" s="1" t="str">
        <f t="shared" si="23"/>
        <v/>
      </c>
    </row>
    <row r="443" spans="2:45" x14ac:dyDescent="0.2">
      <c r="B443" s="8">
        <f t="shared" si="24"/>
        <v>422</v>
      </c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179"/>
      <c r="AL443" s="179"/>
      <c r="AM443" s="179"/>
      <c r="AN443" s="179"/>
      <c r="AO443" s="179"/>
      <c r="AP443" s="30"/>
      <c r="AQ443" s="75"/>
      <c r="AR443" s="2"/>
      <c r="AS443" s="1" t="str">
        <f t="shared" si="23"/>
        <v/>
      </c>
    </row>
    <row r="444" spans="2:45" x14ac:dyDescent="0.2">
      <c r="B444" s="8">
        <f t="shared" si="24"/>
        <v>423</v>
      </c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179"/>
      <c r="AL444" s="179"/>
      <c r="AM444" s="179"/>
      <c r="AN444" s="179"/>
      <c r="AO444" s="179"/>
      <c r="AP444" s="30"/>
      <c r="AQ444" s="75"/>
      <c r="AR444" s="2"/>
      <c r="AS444" s="1" t="str">
        <f t="shared" si="23"/>
        <v/>
      </c>
    </row>
    <row r="445" spans="2:45" x14ac:dyDescent="0.2">
      <c r="B445" s="8">
        <f t="shared" si="24"/>
        <v>424</v>
      </c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179"/>
      <c r="AL445" s="179"/>
      <c r="AM445" s="179"/>
      <c r="AN445" s="179"/>
      <c r="AO445" s="179"/>
      <c r="AP445" s="30"/>
      <c r="AQ445" s="75"/>
      <c r="AR445" s="2"/>
      <c r="AS445" s="1" t="str">
        <f t="shared" si="23"/>
        <v/>
      </c>
    </row>
    <row r="446" spans="2:45" x14ac:dyDescent="0.2">
      <c r="B446" s="8">
        <f t="shared" si="24"/>
        <v>425</v>
      </c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179"/>
      <c r="AL446" s="179"/>
      <c r="AM446" s="179"/>
      <c r="AN446" s="179"/>
      <c r="AO446" s="179"/>
      <c r="AP446" s="30"/>
      <c r="AQ446" s="75"/>
      <c r="AR446" s="2"/>
      <c r="AS446" s="1" t="str">
        <f t="shared" si="23"/>
        <v/>
      </c>
    </row>
    <row r="447" spans="2:45" x14ac:dyDescent="0.2">
      <c r="B447" s="8">
        <f t="shared" si="24"/>
        <v>426</v>
      </c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179"/>
      <c r="AL447" s="179"/>
      <c r="AM447" s="179"/>
      <c r="AN447" s="179"/>
      <c r="AO447" s="179"/>
      <c r="AP447" s="30"/>
      <c r="AQ447" s="75"/>
      <c r="AR447" s="2"/>
      <c r="AS447" s="1" t="str">
        <f t="shared" si="23"/>
        <v/>
      </c>
    </row>
    <row r="448" spans="2:45" x14ac:dyDescent="0.2">
      <c r="B448" s="8">
        <f t="shared" si="24"/>
        <v>427</v>
      </c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179"/>
      <c r="AL448" s="179"/>
      <c r="AM448" s="179"/>
      <c r="AN448" s="179"/>
      <c r="AO448" s="179"/>
      <c r="AP448" s="30"/>
      <c r="AQ448" s="75"/>
      <c r="AR448" s="2"/>
      <c r="AS448" s="1" t="str">
        <f t="shared" si="23"/>
        <v/>
      </c>
    </row>
    <row r="449" spans="2:45" x14ac:dyDescent="0.2">
      <c r="B449" s="8">
        <f t="shared" si="24"/>
        <v>428</v>
      </c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179"/>
      <c r="AL449" s="179"/>
      <c r="AM449" s="179"/>
      <c r="AN449" s="179"/>
      <c r="AO449" s="179"/>
      <c r="AP449" s="30"/>
      <c r="AQ449" s="75"/>
      <c r="AR449" s="2"/>
      <c r="AS449" s="1" t="str">
        <f t="shared" si="23"/>
        <v/>
      </c>
    </row>
    <row r="450" spans="2:45" x14ac:dyDescent="0.2">
      <c r="B450" s="8">
        <f t="shared" si="24"/>
        <v>429</v>
      </c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179"/>
      <c r="AL450" s="179"/>
      <c r="AM450" s="179"/>
      <c r="AN450" s="179"/>
      <c r="AO450" s="179"/>
      <c r="AP450" s="30"/>
      <c r="AQ450" s="75"/>
      <c r="AR450" s="2"/>
      <c r="AS450" s="1" t="str">
        <f t="shared" si="23"/>
        <v/>
      </c>
    </row>
    <row r="451" spans="2:45" x14ac:dyDescent="0.2">
      <c r="B451" s="8">
        <f t="shared" si="24"/>
        <v>430</v>
      </c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179"/>
      <c r="AL451" s="179"/>
      <c r="AM451" s="179"/>
      <c r="AN451" s="179"/>
      <c r="AO451" s="179"/>
      <c r="AP451" s="30"/>
      <c r="AQ451" s="75"/>
      <c r="AR451" s="2"/>
      <c r="AS451" s="1" t="str">
        <f t="shared" si="23"/>
        <v/>
      </c>
    </row>
    <row r="452" spans="2:45" x14ac:dyDescent="0.2">
      <c r="B452" s="8">
        <f t="shared" si="24"/>
        <v>431</v>
      </c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179"/>
      <c r="AL452" s="179"/>
      <c r="AM452" s="179"/>
      <c r="AN452" s="179"/>
      <c r="AO452" s="179"/>
      <c r="AP452" s="30"/>
      <c r="AQ452" s="75"/>
      <c r="AR452" s="2"/>
      <c r="AS452" s="1" t="str">
        <f t="shared" si="23"/>
        <v/>
      </c>
    </row>
    <row r="453" spans="2:45" x14ac:dyDescent="0.2">
      <c r="B453" s="8">
        <f t="shared" si="24"/>
        <v>432</v>
      </c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179"/>
      <c r="AL453" s="179"/>
      <c r="AM453" s="179"/>
      <c r="AN453" s="179"/>
      <c r="AO453" s="179"/>
      <c r="AP453" s="30"/>
      <c r="AQ453" s="75"/>
      <c r="AR453" s="2"/>
      <c r="AS453" s="1" t="str">
        <f t="shared" si="23"/>
        <v/>
      </c>
    </row>
    <row r="454" spans="2:45" x14ac:dyDescent="0.2">
      <c r="B454" s="8">
        <f t="shared" si="24"/>
        <v>433</v>
      </c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179"/>
      <c r="AL454" s="179"/>
      <c r="AM454" s="179"/>
      <c r="AN454" s="179"/>
      <c r="AO454" s="179"/>
      <c r="AP454" s="30"/>
      <c r="AQ454" s="75"/>
      <c r="AR454" s="2"/>
      <c r="AS454" s="1" t="str">
        <f t="shared" si="23"/>
        <v/>
      </c>
    </row>
    <row r="455" spans="2:45" x14ac:dyDescent="0.2">
      <c r="B455" s="8">
        <f t="shared" si="24"/>
        <v>434</v>
      </c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179"/>
      <c r="AL455" s="179"/>
      <c r="AM455" s="179"/>
      <c r="AN455" s="179"/>
      <c r="AO455" s="179"/>
      <c r="AP455" s="30"/>
      <c r="AQ455" s="75"/>
      <c r="AR455" s="2"/>
      <c r="AS455" s="1" t="str">
        <f t="shared" si="23"/>
        <v/>
      </c>
    </row>
    <row r="456" spans="2:45" x14ac:dyDescent="0.2">
      <c r="B456" s="8">
        <f t="shared" si="24"/>
        <v>435</v>
      </c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179"/>
      <c r="AL456" s="179"/>
      <c r="AM456" s="179"/>
      <c r="AN456" s="179"/>
      <c r="AO456" s="179"/>
      <c r="AP456" s="30"/>
      <c r="AQ456" s="75"/>
      <c r="AR456" s="2"/>
      <c r="AS456" s="1" t="str">
        <f t="shared" si="23"/>
        <v/>
      </c>
    </row>
    <row r="457" spans="2:45" x14ac:dyDescent="0.2">
      <c r="B457" s="8">
        <f t="shared" si="24"/>
        <v>436</v>
      </c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179"/>
      <c r="AL457" s="179"/>
      <c r="AM457" s="179"/>
      <c r="AN457" s="179"/>
      <c r="AO457" s="179"/>
      <c r="AP457" s="30"/>
      <c r="AQ457" s="75"/>
      <c r="AR457" s="2"/>
      <c r="AS457" s="1" t="str">
        <f t="shared" si="23"/>
        <v/>
      </c>
    </row>
    <row r="458" spans="2:45" x14ac:dyDescent="0.2">
      <c r="B458" s="8">
        <f t="shared" si="24"/>
        <v>437</v>
      </c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179"/>
      <c r="AL458" s="179"/>
      <c r="AM458" s="179"/>
      <c r="AN458" s="179"/>
      <c r="AO458" s="179"/>
      <c r="AP458" s="30"/>
      <c r="AQ458" s="75"/>
      <c r="AR458" s="2"/>
      <c r="AS458" s="1" t="str">
        <f t="shared" si="23"/>
        <v/>
      </c>
    </row>
    <row r="459" spans="2:45" x14ac:dyDescent="0.2">
      <c r="B459" s="8">
        <f t="shared" si="24"/>
        <v>438</v>
      </c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179"/>
      <c r="AL459" s="179"/>
      <c r="AM459" s="179"/>
      <c r="AN459" s="179"/>
      <c r="AO459" s="179"/>
      <c r="AP459" s="30"/>
      <c r="AQ459" s="75"/>
      <c r="AR459" s="2"/>
      <c r="AS459" s="1" t="str">
        <f t="shared" si="23"/>
        <v/>
      </c>
    </row>
    <row r="460" spans="2:45" x14ac:dyDescent="0.2">
      <c r="B460" s="8">
        <f t="shared" si="24"/>
        <v>439</v>
      </c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179"/>
      <c r="AL460" s="179"/>
      <c r="AM460" s="179"/>
      <c r="AN460" s="179"/>
      <c r="AO460" s="179"/>
      <c r="AP460" s="30"/>
      <c r="AQ460" s="75"/>
      <c r="AR460" s="2"/>
      <c r="AS460" s="1" t="str">
        <f t="shared" si="23"/>
        <v/>
      </c>
    </row>
    <row r="461" spans="2:45" x14ac:dyDescent="0.2">
      <c r="B461" s="8">
        <f t="shared" si="24"/>
        <v>440</v>
      </c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179"/>
      <c r="AL461" s="179"/>
      <c r="AM461" s="179"/>
      <c r="AN461" s="179"/>
      <c r="AO461" s="179"/>
      <c r="AP461" s="30"/>
      <c r="AQ461" s="75"/>
      <c r="AR461" s="2"/>
      <c r="AS461" s="1" t="str">
        <f t="shared" si="23"/>
        <v/>
      </c>
    </row>
    <row r="462" spans="2:45" x14ac:dyDescent="0.2">
      <c r="B462" s="8">
        <f t="shared" si="24"/>
        <v>441</v>
      </c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179"/>
      <c r="AL462" s="179"/>
      <c r="AM462" s="179"/>
      <c r="AN462" s="179"/>
      <c r="AO462" s="179"/>
      <c r="AP462" s="30"/>
      <c r="AQ462" s="75"/>
      <c r="AR462" s="2"/>
      <c r="AS462" s="1" t="str">
        <f t="shared" si="23"/>
        <v/>
      </c>
    </row>
    <row r="463" spans="2:45" x14ac:dyDescent="0.2">
      <c r="B463" s="8">
        <f t="shared" si="24"/>
        <v>442</v>
      </c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179"/>
      <c r="AL463" s="179"/>
      <c r="AM463" s="179"/>
      <c r="AN463" s="179"/>
      <c r="AO463" s="179"/>
      <c r="AP463" s="30"/>
      <c r="AQ463" s="75"/>
      <c r="AR463" s="2"/>
      <c r="AS463" s="1" t="str">
        <f t="shared" si="23"/>
        <v/>
      </c>
    </row>
    <row r="464" spans="2:45" x14ac:dyDescent="0.2">
      <c r="B464" s="8">
        <f t="shared" si="24"/>
        <v>443</v>
      </c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179"/>
      <c r="AL464" s="179"/>
      <c r="AM464" s="179"/>
      <c r="AN464" s="179"/>
      <c r="AO464" s="179"/>
      <c r="AP464" s="30"/>
      <c r="AQ464" s="75"/>
      <c r="AR464" s="2"/>
      <c r="AS464" s="1" t="str">
        <f t="shared" si="23"/>
        <v/>
      </c>
    </row>
    <row r="465" spans="2:45" x14ac:dyDescent="0.2">
      <c r="B465" s="8">
        <f t="shared" si="24"/>
        <v>444</v>
      </c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179"/>
      <c r="AL465" s="179"/>
      <c r="AM465" s="179"/>
      <c r="AN465" s="179"/>
      <c r="AO465" s="179"/>
      <c r="AP465" s="30"/>
      <c r="AQ465" s="75"/>
      <c r="AR465" s="2"/>
      <c r="AS465" s="1" t="str">
        <f t="shared" si="23"/>
        <v/>
      </c>
    </row>
    <row r="466" spans="2:45" x14ac:dyDescent="0.2">
      <c r="B466" s="8">
        <f t="shared" si="24"/>
        <v>445</v>
      </c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179"/>
      <c r="AL466" s="179"/>
      <c r="AM466" s="179"/>
      <c r="AN466" s="179"/>
      <c r="AO466" s="179"/>
      <c r="AP466" s="30"/>
      <c r="AQ466" s="75"/>
      <c r="AR466" s="2"/>
      <c r="AS466" s="1" t="str">
        <f t="shared" si="23"/>
        <v/>
      </c>
    </row>
    <row r="467" spans="2:45" x14ac:dyDescent="0.2">
      <c r="B467" s="8">
        <f t="shared" si="24"/>
        <v>446</v>
      </c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179"/>
      <c r="AL467" s="179"/>
      <c r="AM467" s="179"/>
      <c r="AN467" s="179"/>
      <c r="AO467" s="179"/>
      <c r="AP467" s="30"/>
      <c r="AQ467" s="75"/>
      <c r="AR467" s="2"/>
      <c r="AS467" s="1" t="str">
        <f t="shared" si="23"/>
        <v/>
      </c>
    </row>
    <row r="468" spans="2:45" x14ac:dyDescent="0.2">
      <c r="B468" s="8">
        <f t="shared" si="24"/>
        <v>447</v>
      </c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179"/>
      <c r="AL468" s="179"/>
      <c r="AM468" s="179"/>
      <c r="AN468" s="179"/>
      <c r="AO468" s="179"/>
      <c r="AP468" s="30"/>
      <c r="AQ468" s="75"/>
      <c r="AR468" s="2"/>
      <c r="AS468" s="1" t="str">
        <f t="shared" si="23"/>
        <v/>
      </c>
    </row>
    <row r="469" spans="2:45" x14ac:dyDescent="0.2">
      <c r="B469" s="8">
        <f t="shared" si="24"/>
        <v>448</v>
      </c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179"/>
      <c r="AL469" s="179"/>
      <c r="AM469" s="179"/>
      <c r="AN469" s="179"/>
      <c r="AO469" s="179"/>
      <c r="AP469" s="30"/>
      <c r="AQ469" s="75"/>
      <c r="AR469" s="2"/>
      <c r="AS469" s="1" t="str">
        <f t="shared" si="23"/>
        <v/>
      </c>
    </row>
    <row r="470" spans="2:45" x14ac:dyDescent="0.2">
      <c r="B470" s="8">
        <f t="shared" si="24"/>
        <v>449</v>
      </c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179"/>
      <c r="AL470" s="179"/>
      <c r="AM470" s="179"/>
      <c r="AN470" s="179"/>
      <c r="AO470" s="179"/>
      <c r="AP470" s="30"/>
      <c r="AQ470" s="75"/>
      <c r="AR470" s="2"/>
      <c r="AS470" s="1" t="str">
        <f t="shared" ref="AS470:AS504" si="25">IF(COUNT(C470:AH470)&gt;0,B470,"")</f>
        <v/>
      </c>
    </row>
    <row r="471" spans="2:45" x14ac:dyDescent="0.2">
      <c r="B471" s="8">
        <f t="shared" ref="B471:B504" si="26">ROW()-ROW(B$21)</f>
        <v>450</v>
      </c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179"/>
      <c r="AL471" s="179"/>
      <c r="AM471" s="179"/>
      <c r="AN471" s="179"/>
      <c r="AO471" s="179"/>
      <c r="AP471" s="30"/>
      <c r="AQ471" s="75"/>
      <c r="AR471" s="2"/>
      <c r="AS471" s="1" t="str">
        <f t="shared" si="25"/>
        <v/>
      </c>
    </row>
    <row r="472" spans="2:45" x14ac:dyDescent="0.2">
      <c r="B472" s="8">
        <f t="shared" si="26"/>
        <v>451</v>
      </c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179"/>
      <c r="AL472" s="179"/>
      <c r="AM472" s="179"/>
      <c r="AN472" s="179"/>
      <c r="AO472" s="179"/>
      <c r="AP472" s="30"/>
      <c r="AQ472" s="75"/>
      <c r="AR472" s="2"/>
      <c r="AS472" s="1" t="str">
        <f t="shared" si="25"/>
        <v/>
      </c>
    </row>
    <row r="473" spans="2:45" x14ac:dyDescent="0.2">
      <c r="B473" s="8">
        <f t="shared" si="26"/>
        <v>452</v>
      </c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179"/>
      <c r="AL473" s="179"/>
      <c r="AM473" s="179"/>
      <c r="AN473" s="179"/>
      <c r="AO473" s="179"/>
      <c r="AP473" s="30"/>
      <c r="AQ473" s="75"/>
      <c r="AR473" s="2"/>
      <c r="AS473" s="1" t="str">
        <f t="shared" si="25"/>
        <v/>
      </c>
    </row>
    <row r="474" spans="2:45" x14ac:dyDescent="0.2">
      <c r="B474" s="8">
        <f t="shared" si="26"/>
        <v>453</v>
      </c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179"/>
      <c r="AL474" s="179"/>
      <c r="AM474" s="179"/>
      <c r="AN474" s="179"/>
      <c r="AO474" s="179"/>
      <c r="AP474" s="30"/>
      <c r="AQ474" s="75"/>
      <c r="AR474" s="2"/>
      <c r="AS474" s="1" t="str">
        <f t="shared" si="25"/>
        <v/>
      </c>
    </row>
    <row r="475" spans="2:45" x14ac:dyDescent="0.2">
      <c r="B475" s="8">
        <f t="shared" si="26"/>
        <v>454</v>
      </c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179"/>
      <c r="AL475" s="179"/>
      <c r="AM475" s="179"/>
      <c r="AN475" s="179"/>
      <c r="AO475" s="179"/>
      <c r="AP475" s="30"/>
      <c r="AQ475" s="75"/>
      <c r="AR475" s="2"/>
      <c r="AS475" s="1" t="str">
        <f t="shared" si="25"/>
        <v/>
      </c>
    </row>
    <row r="476" spans="2:45" x14ac:dyDescent="0.2">
      <c r="B476" s="8">
        <f t="shared" si="26"/>
        <v>455</v>
      </c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179"/>
      <c r="AL476" s="179"/>
      <c r="AM476" s="179"/>
      <c r="AN476" s="179"/>
      <c r="AO476" s="179"/>
      <c r="AP476" s="30"/>
      <c r="AQ476" s="75"/>
      <c r="AR476" s="2"/>
      <c r="AS476" s="1" t="str">
        <f t="shared" si="25"/>
        <v/>
      </c>
    </row>
    <row r="477" spans="2:45" x14ac:dyDescent="0.2">
      <c r="B477" s="8">
        <f t="shared" si="26"/>
        <v>456</v>
      </c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179"/>
      <c r="AL477" s="179"/>
      <c r="AM477" s="179"/>
      <c r="AN477" s="179"/>
      <c r="AO477" s="179"/>
      <c r="AP477" s="30"/>
      <c r="AQ477" s="75"/>
      <c r="AR477" s="2"/>
      <c r="AS477" s="1" t="str">
        <f t="shared" si="25"/>
        <v/>
      </c>
    </row>
    <row r="478" spans="2:45" x14ac:dyDescent="0.2">
      <c r="B478" s="8">
        <f t="shared" si="26"/>
        <v>457</v>
      </c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179"/>
      <c r="AL478" s="179"/>
      <c r="AM478" s="179"/>
      <c r="AN478" s="179"/>
      <c r="AO478" s="179"/>
      <c r="AP478" s="30"/>
      <c r="AQ478" s="75"/>
      <c r="AR478" s="2"/>
      <c r="AS478" s="1" t="str">
        <f t="shared" si="25"/>
        <v/>
      </c>
    </row>
    <row r="479" spans="2:45" x14ac:dyDescent="0.2">
      <c r="B479" s="8">
        <f t="shared" si="26"/>
        <v>458</v>
      </c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179"/>
      <c r="AL479" s="179"/>
      <c r="AM479" s="179"/>
      <c r="AN479" s="179"/>
      <c r="AO479" s="179"/>
      <c r="AP479" s="30"/>
      <c r="AQ479" s="75"/>
      <c r="AR479" s="2"/>
      <c r="AS479" s="1" t="str">
        <f t="shared" si="25"/>
        <v/>
      </c>
    </row>
    <row r="480" spans="2:45" x14ac:dyDescent="0.2">
      <c r="B480" s="8">
        <f t="shared" si="26"/>
        <v>459</v>
      </c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179"/>
      <c r="AL480" s="179"/>
      <c r="AM480" s="179"/>
      <c r="AN480" s="179"/>
      <c r="AO480" s="179"/>
      <c r="AP480" s="30"/>
      <c r="AQ480" s="75"/>
      <c r="AR480" s="2"/>
      <c r="AS480" s="1" t="str">
        <f t="shared" si="25"/>
        <v/>
      </c>
    </row>
    <row r="481" spans="2:45" x14ac:dyDescent="0.2">
      <c r="B481" s="8">
        <f t="shared" si="26"/>
        <v>460</v>
      </c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179"/>
      <c r="AL481" s="179"/>
      <c r="AM481" s="179"/>
      <c r="AN481" s="179"/>
      <c r="AO481" s="179"/>
      <c r="AP481" s="30"/>
      <c r="AQ481" s="75"/>
      <c r="AR481" s="2"/>
      <c r="AS481" s="1" t="str">
        <f t="shared" si="25"/>
        <v/>
      </c>
    </row>
    <row r="482" spans="2:45" x14ac:dyDescent="0.2">
      <c r="B482" s="8">
        <f t="shared" si="26"/>
        <v>461</v>
      </c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179"/>
      <c r="AL482" s="179"/>
      <c r="AM482" s="179"/>
      <c r="AN482" s="179"/>
      <c r="AO482" s="179"/>
      <c r="AP482" s="30"/>
      <c r="AQ482" s="75"/>
      <c r="AR482" s="2"/>
      <c r="AS482" s="1" t="str">
        <f t="shared" si="25"/>
        <v/>
      </c>
    </row>
    <row r="483" spans="2:45" x14ac:dyDescent="0.2">
      <c r="B483" s="8">
        <f t="shared" si="26"/>
        <v>462</v>
      </c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179"/>
      <c r="AL483" s="179"/>
      <c r="AM483" s="179"/>
      <c r="AN483" s="179"/>
      <c r="AO483" s="179"/>
      <c r="AP483" s="30"/>
      <c r="AQ483" s="75"/>
      <c r="AR483" s="2"/>
      <c r="AS483" s="1" t="str">
        <f t="shared" si="25"/>
        <v/>
      </c>
    </row>
    <row r="484" spans="2:45" x14ac:dyDescent="0.2">
      <c r="B484" s="8">
        <f t="shared" si="26"/>
        <v>463</v>
      </c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179"/>
      <c r="AL484" s="179"/>
      <c r="AM484" s="179"/>
      <c r="AN484" s="179"/>
      <c r="AO484" s="179"/>
      <c r="AP484" s="30"/>
      <c r="AQ484" s="75"/>
      <c r="AR484" s="2"/>
      <c r="AS484" s="1" t="str">
        <f t="shared" si="25"/>
        <v/>
      </c>
    </row>
    <row r="485" spans="2:45" x14ac:dyDescent="0.2">
      <c r="B485" s="8">
        <f t="shared" si="26"/>
        <v>464</v>
      </c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179"/>
      <c r="AL485" s="179"/>
      <c r="AM485" s="179"/>
      <c r="AN485" s="179"/>
      <c r="AO485" s="179"/>
      <c r="AP485" s="30"/>
      <c r="AQ485" s="75"/>
      <c r="AR485" s="2"/>
      <c r="AS485" s="1" t="str">
        <f t="shared" si="25"/>
        <v/>
      </c>
    </row>
    <row r="486" spans="2:45" x14ac:dyDescent="0.2">
      <c r="B486" s="8">
        <f t="shared" si="26"/>
        <v>465</v>
      </c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179"/>
      <c r="AL486" s="179"/>
      <c r="AM486" s="179"/>
      <c r="AN486" s="179"/>
      <c r="AO486" s="179"/>
      <c r="AP486" s="30"/>
      <c r="AQ486" s="75"/>
      <c r="AR486" s="2"/>
      <c r="AS486" s="1" t="str">
        <f t="shared" si="25"/>
        <v/>
      </c>
    </row>
    <row r="487" spans="2:45" x14ac:dyDescent="0.2">
      <c r="B487" s="8">
        <f t="shared" si="26"/>
        <v>466</v>
      </c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179"/>
      <c r="AL487" s="179"/>
      <c r="AM487" s="179"/>
      <c r="AN487" s="179"/>
      <c r="AO487" s="179"/>
      <c r="AP487" s="30"/>
      <c r="AQ487" s="75"/>
      <c r="AR487" s="2"/>
      <c r="AS487" s="1" t="str">
        <f t="shared" si="25"/>
        <v/>
      </c>
    </row>
    <row r="488" spans="2:45" x14ac:dyDescent="0.2">
      <c r="B488" s="8">
        <f t="shared" si="26"/>
        <v>467</v>
      </c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179"/>
      <c r="AL488" s="179"/>
      <c r="AM488" s="179"/>
      <c r="AN488" s="179"/>
      <c r="AO488" s="179"/>
      <c r="AP488" s="30"/>
      <c r="AQ488" s="75"/>
      <c r="AR488" s="2"/>
      <c r="AS488" s="1" t="str">
        <f t="shared" si="25"/>
        <v/>
      </c>
    </row>
    <row r="489" spans="2:45" x14ac:dyDescent="0.2">
      <c r="B489" s="8">
        <f t="shared" si="26"/>
        <v>468</v>
      </c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179"/>
      <c r="AL489" s="179"/>
      <c r="AM489" s="179"/>
      <c r="AN489" s="179"/>
      <c r="AO489" s="179"/>
      <c r="AP489" s="30"/>
      <c r="AQ489" s="75"/>
      <c r="AR489" s="2"/>
      <c r="AS489" s="1" t="str">
        <f t="shared" si="25"/>
        <v/>
      </c>
    </row>
    <row r="490" spans="2:45" x14ac:dyDescent="0.2">
      <c r="B490" s="8">
        <f t="shared" si="26"/>
        <v>469</v>
      </c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179"/>
      <c r="AL490" s="179"/>
      <c r="AM490" s="179"/>
      <c r="AN490" s="179"/>
      <c r="AO490" s="179"/>
      <c r="AP490" s="30"/>
      <c r="AQ490" s="75"/>
      <c r="AR490" s="2"/>
      <c r="AS490" s="1" t="str">
        <f t="shared" si="25"/>
        <v/>
      </c>
    </row>
    <row r="491" spans="2:45" x14ac:dyDescent="0.2">
      <c r="B491" s="8">
        <f t="shared" si="26"/>
        <v>470</v>
      </c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179"/>
      <c r="AL491" s="179"/>
      <c r="AM491" s="179"/>
      <c r="AN491" s="179"/>
      <c r="AO491" s="179"/>
      <c r="AP491" s="30"/>
      <c r="AQ491" s="75"/>
      <c r="AR491" s="2"/>
      <c r="AS491" s="1" t="str">
        <f t="shared" si="25"/>
        <v/>
      </c>
    </row>
    <row r="492" spans="2:45" x14ac:dyDescent="0.2">
      <c r="B492" s="8">
        <f t="shared" si="26"/>
        <v>471</v>
      </c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179"/>
      <c r="AL492" s="179"/>
      <c r="AM492" s="179"/>
      <c r="AN492" s="179"/>
      <c r="AO492" s="179"/>
      <c r="AP492" s="30"/>
      <c r="AQ492" s="75"/>
      <c r="AR492" s="2"/>
      <c r="AS492" s="1" t="str">
        <f t="shared" si="25"/>
        <v/>
      </c>
    </row>
    <row r="493" spans="2:45" x14ac:dyDescent="0.2">
      <c r="B493" s="8">
        <f t="shared" si="26"/>
        <v>472</v>
      </c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179"/>
      <c r="AL493" s="179"/>
      <c r="AM493" s="179"/>
      <c r="AN493" s="179"/>
      <c r="AO493" s="179"/>
      <c r="AP493" s="30"/>
      <c r="AQ493" s="75"/>
      <c r="AR493" s="2"/>
      <c r="AS493" s="1" t="str">
        <f t="shared" si="25"/>
        <v/>
      </c>
    </row>
    <row r="494" spans="2:45" x14ac:dyDescent="0.2">
      <c r="B494" s="8">
        <f t="shared" si="26"/>
        <v>473</v>
      </c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179"/>
      <c r="AL494" s="179"/>
      <c r="AM494" s="179"/>
      <c r="AN494" s="179"/>
      <c r="AO494" s="179"/>
      <c r="AP494" s="30"/>
      <c r="AQ494" s="75"/>
      <c r="AR494" s="2"/>
      <c r="AS494" s="1" t="str">
        <f t="shared" si="25"/>
        <v/>
      </c>
    </row>
    <row r="495" spans="2:45" x14ac:dyDescent="0.2">
      <c r="B495" s="8">
        <f t="shared" si="26"/>
        <v>474</v>
      </c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179"/>
      <c r="AL495" s="179"/>
      <c r="AM495" s="179"/>
      <c r="AN495" s="179"/>
      <c r="AO495" s="179"/>
      <c r="AP495" s="30"/>
      <c r="AQ495" s="75"/>
      <c r="AR495" s="2"/>
      <c r="AS495" s="1" t="str">
        <f t="shared" si="25"/>
        <v/>
      </c>
    </row>
    <row r="496" spans="2:45" x14ac:dyDescent="0.2">
      <c r="B496" s="8">
        <f t="shared" si="26"/>
        <v>475</v>
      </c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179"/>
      <c r="AL496" s="179"/>
      <c r="AM496" s="179"/>
      <c r="AN496" s="179"/>
      <c r="AO496" s="179"/>
      <c r="AP496" s="30"/>
      <c r="AQ496" s="75"/>
      <c r="AR496" s="2"/>
      <c r="AS496" s="1" t="str">
        <f t="shared" si="25"/>
        <v/>
      </c>
    </row>
    <row r="497" spans="2:45" x14ac:dyDescent="0.2">
      <c r="B497" s="8">
        <f t="shared" si="26"/>
        <v>476</v>
      </c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179"/>
      <c r="AL497" s="179"/>
      <c r="AM497" s="179"/>
      <c r="AN497" s="179"/>
      <c r="AO497" s="179"/>
      <c r="AP497" s="30"/>
      <c r="AQ497" s="75"/>
      <c r="AR497" s="2"/>
      <c r="AS497" s="1" t="str">
        <f t="shared" si="25"/>
        <v/>
      </c>
    </row>
    <row r="498" spans="2:45" x14ac:dyDescent="0.2">
      <c r="B498" s="8">
        <f t="shared" si="26"/>
        <v>477</v>
      </c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179"/>
      <c r="AL498" s="179"/>
      <c r="AM498" s="179"/>
      <c r="AN498" s="179"/>
      <c r="AO498" s="179"/>
      <c r="AP498" s="30"/>
      <c r="AQ498" s="75"/>
      <c r="AR498" s="2"/>
      <c r="AS498" s="1" t="str">
        <f t="shared" si="25"/>
        <v/>
      </c>
    </row>
    <row r="499" spans="2:45" x14ac:dyDescent="0.2">
      <c r="B499" s="8">
        <f t="shared" si="26"/>
        <v>478</v>
      </c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179"/>
      <c r="AL499" s="179"/>
      <c r="AM499" s="179"/>
      <c r="AN499" s="179"/>
      <c r="AO499" s="179"/>
      <c r="AP499" s="30"/>
      <c r="AQ499" s="75"/>
      <c r="AR499" s="2"/>
      <c r="AS499" s="1" t="str">
        <f t="shared" si="25"/>
        <v/>
      </c>
    </row>
    <row r="500" spans="2:45" x14ac:dyDescent="0.2">
      <c r="B500" s="8">
        <f t="shared" si="26"/>
        <v>479</v>
      </c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179"/>
      <c r="AL500" s="179"/>
      <c r="AM500" s="179"/>
      <c r="AN500" s="179"/>
      <c r="AO500" s="179"/>
      <c r="AP500" s="30"/>
      <c r="AQ500" s="75"/>
      <c r="AR500" s="2"/>
      <c r="AS500" s="1" t="str">
        <f t="shared" si="25"/>
        <v/>
      </c>
    </row>
    <row r="501" spans="2:45" x14ac:dyDescent="0.2">
      <c r="B501" s="8">
        <f t="shared" si="26"/>
        <v>480</v>
      </c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179"/>
      <c r="AL501" s="179"/>
      <c r="AM501" s="179"/>
      <c r="AN501" s="179"/>
      <c r="AO501" s="179"/>
      <c r="AP501" s="30"/>
      <c r="AQ501" s="75"/>
      <c r="AR501" s="2"/>
      <c r="AS501" s="1" t="str">
        <f t="shared" si="25"/>
        <v/>
      </c>
    </row>
    <row r="502" spans="2:45" x14ac:dyDescent="0.2">
      <c r="B502" s="8">
        <f t="shared" si="26"/>
        <v>481</v>
      </c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179"/>
      <c r="AL502" s="179"/>
      <c r="AM502" s="179"/>
      <c r="AN502" s="179"/>
      <c r="AO502" s="179"/>
      <c r="AP502" s="30"/>
      <c r="AQ502" s="75"/>
      <c r="AR502" s="2"/>
      <c r="AS502" s="1" t="str">
        <f t="shared" si="25"/>
        <v/>
      </c>
    </row>
    <row r="503" spans="2:45" x14ac:dyDescent="0.2">
      <c r="B503" s="8">
        <f t="shared" si="26"/>
        <v>482</v>
      </c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179"/>
      <c r="AL503" s="179"/>
      <c r="AM503" s="179"/>
      <c r="AN503" s="179"/>
      <c r="AO503" s="179"/>
      <c r="AP503" s="30"/>
      <c r="AQ503" s="75"/>
      <c r="AR503" s="2"/>
      <c r="AS503" s="1" t="str">
        <f t="shared" si="25"/>
        <v/>
      </c>
    </row>
    <row r="504" spans="2:45" x14ac:dyDescent="0.2">
      <c r="B504" s="9">
        <f t="shared" si="26"/>
        <v>483</v>
      </c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179"/>
      <c r="AL504" s="179"/>
      <c r="AM504" s="179"/>
      <c r="AN504" s="179"/>
      <c r="AO504" s="179"/>
      <c r="AP504" s="30"/>
      <c r="AQ504" s="75"/>
      <c r="AR504" s="2"/>
      <c r="AS504" s="1" t="str">
        <f t="shared" si="25"/>
        <v/>
      </c>
    </row>
  </sheetData>
  <sheetProtection password="F8BC" objects="1" scenarios="1"/>
  <mergeCells count="6">
    <mergeCell ref="E3:F3"/>
    <mergeCell ref="E4:F4"/>
    <mergeCell ref="H3:I3"/>
    <mergeCell ref="H4:I4"/>
    <mergeCell ref="J3:K3"/>
    <mergeCell ref="J4:K4"/>
  </mergeCells>
  <phoneticPr fontId="3"/>
  <dataValidations count="13">
    <dataValidation type="list" allowBlank="1" showErrorMessage="1" sqref="H4" xr:uid="{00000000-0002-0000-0300-000000000000}">
      <formula1>"指定呼出,自動最新"</formula1>
    </dataValidation>
    <dataValidation type="decimal" allowBlank="1" showInputMessage="1" showErrorMessage="1" sqref="AQ2:AQ21 AQ1:AR1 AS1:IW1048576 AR2:AR65536 AA1:AJ20 AK17:AO21 B8:B16 B18:B65536 E5:K18 C6:C21 A8:A12 D6:D10 O6:O18 H3 C3 P5:Z20 AK1:AO10 J3:J4 A19:A65536 E3 O1:Z2 A17 D17:D21 AP1:AP18 L1:N18 A1:K2 O20" xr:uid="{00000000-0002-0000-0300-000001000000}">
      <formula1>0.00001</formula1>
      <formula2>0.000011</formula2>
    </dataValidation>
    <dataValidation type="whole" allowBlank="1" showInputMessage="1" showErrorMessage="1" sqref="E4" xr:uid="{00000000-0002-0000-0300-000002000000}">
      <formula1>1</formula1>
      <formula2>500</formula2>
    </dataValidation>
    <dataValidation type="decimal" allowBlank="1" showInputMessage="1" showErrorMessage="1" sqref="AK89:AO65536 AK54:AO82 AK22:AO47" xr:uid="{00000000-0002-0000-0300-000003000000}">
      <formula1>-100000</formula1>
      <formula2>300000</formula2>
    </dataValidation>
    <dataValidation type="decimal" allowBlank="1" showInputMessage="1" showErrorMessage="1" sqref="C505:C65536" xr:uid="{00000000-0002-0000-0300-000004000000}">
      <formula1>1</formula1>
      <formula2>15</formula2>
    </dataValidation>
    <dataValidation type="time" allowBlank="1" showInputMessage="1" showErrorMessage="1" sqref="AQ505:AQ65536" xr:uid="{00000000-0002-0000-0300-000005000000}">
      <formula1>0</formula1>
      <formula2>0.999305555555556</formula2>
    </dataValidation>
    <dataValidation type="whole" allowBlank="1" showInputMessage="1" showErrorMessage="1" errorTitle="入力できる数値は1から5までです" error="入力できる数値は1から5までです" sqref="E505:AJ65536 AP505:AP65536" xr:uid="{00000000-0002-0000-0300-000006000000}">
      <formula1>1</formula1>
      <formula2>5</formula2>
    </dataValidation>
    <dataValidation imeMode="hiragana" allowBlank="1" showInputMessage="1" showErrorMessage="1" sqref="D22:D504" xr:uid="{00000000-0002-0000-0300-000007000000}"/>
    <dataValidation imeMode="off" allowBlank="1" showInputMessage="1" showErrorMessage="1" sqref="AK83:AO88 C22:C504 AK48:AO53 AP22:AQ504" xr:uid="{00000000-0002-0000-0300-000008000000}"/>
    <dataValidation type="whole" imeMode="off" allowBlank="1" showInputMessage="1" showErrorMessage="1" sqref="O22:AJ504" xr:uid="{00000000-0002-0000-0300-000009000000}">
      <formula1>1</formula1>
      <formula2>4</formula2>
    </dataValidation>
    <dataValidation type="whole" imeMode="off" allowBlank="1" showInputMessage="1" showErrorMessage="1" sqref="H22:N504" xr:uid="{00000000-0002-0000-0300-00000A000000}">
      <formula1>1</formula1>
      <formula2>1</formula2>
    </dataValidation>
    <dataValidation type="whole" imeMode="off" allowBlank="1" showInputMessage="1" showErrorMessage="1" sqref="F22:G504" xr:uid="{00000000-0002-0000-0300-00000B000000}">
      <formula1>1</formula1>
      <formula2>3</formula2>
    </dataValidation>
    <dataValidation type="whole" imeMode="off" allowBlank="1" showInputMessage="1" showErrorMessage="1" sqref="E22:E504" xr:uid="{00000000-0002-0000-0300-00000C000000}">
      <formula1>1</formula1>
      <formula2>2</formula2>
    </dataValidation>
  </dataValidations>
  <pageMargins left="0.75" right="0.75" top="1" bottom="1" header="0.51200000000000001" footer="0.51200000000000001"/>
  <pageSetup paperSize="9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2:BH110"/>
  <sheetViews>
    <sheetView topLeftCell="F1" workbookViewId="0">
      <selection activeCell="Y17" sqref="Y17"/>
    </sheetView>
  </sheetViews>
  <sheetFormatPr defaultColWidth="9" defaultRowHeight="13" x14ac:dyDescent="0.2"/>
  <cols>
    <col min="1" max="1" width="8.6328125" style="85" customWidth="1"/>
    <col min="2" max="5" width="9" style="85"/>
    <col min="6" max="6" width="9.26953125" style="85" bestFit="1" customWidth="1"/>
    <col min="7" max="7" width="9" style="85"/>
    <col min="8" max="29" width="5" style="85" customWidth="1"/>
    <col min="30" max="16384" width="9" style="85"/>
  </cols>
  <sheetData>
    <row r="2" spans="1:42" x14ac:dyDescent="0.2">
      <c r="G2" s="156" t="s">
        <v>372</v>
      </c>
      <c r="H2" s="85">
        <f>INDEX(初期設定!$G$23:$G$44,診断計算!H4)</f>
        <v>1</v>
      </c>
      <c r="I2" s="85">
        <f>INDEX(初期設定!$G$23:$G$44,診断計算!I4)</f>
        <v>1.4</v>
      </c>
      <c r="J2" s="85">
        <f>INDEX(初期設定!$G$23:$G$44,診断計算!J4)</f>
        <v>1</v>
      </c>
      <c r="K2" s="85">
        <f>INDEX(初期設定!$G$23:$G$44,診断計算!K4)</f>
        <v>1.5</v>
      </c>
      <c r="L2" s="85">
        <f>INDEX(初期設定!$G$23:$G$44,診断計算!L4)</f>
        <v>1.4</v>
      </c>
      <c r="M2" s="85">
        <f>INDEX(初期設定!$G$23:$G$44,診断計算!M4)</f>
        <v>1.3</v>
      </c>
      <c r="N2" s="85">
        <f>INDEX(初期設定!$G$23:$G$44,診断計算!N4)</f>
        <v>1</v>
      </c>
      <c r="O2" s="85">
        <f>INDEX(初期設定!$G$23:$G$44,診断計算!O4)</f>
        <v>1.5</v>
      </c>
      <c r="P2" s="85">
        <f>INDEX(初期設定!$G$23:$G$44,診断計算!P4)</f>
        <v>1.4</v>
      </c>
      <c r="Q2" s="85">
        <f>INDEX(初期設定!$G$23:$G$44,診断計算!Q4)</f>
        <v>1.5</v>
      </c>
      <c r="R2" s="85">
        <f>INDEX(初期設定!$G$23:$G$44,診断計算!R4)</f>
        <v>1.4</v>
      </c>
      <c r="S2" s="85">
        <f>INDEX(初期設定!$G$23:$G$44,診断計算!S4)</f>
        <v>1.3</v>
      </c>
      <c r="T2" s="85">
        <f>INDEX(初期設定!$G$23:$G$44,診断計算!T4)</f>
        <v>1.5</v>
      </c>
      <c r="U2" s="85">
        <f>INDEX(初期設定!$G$23:$G$44,診断計算!U4)</f>
        <v>1.3</v>
      </c>
      <c r="V2" s="85">
        <f>INDEX(初期設定!$G$23:$G$44,診断計算!V4)</f>
        <v>1.3</v>
      </c>
      <c r="W2" s="85">
        <f>INDEX(初期設定!$G$23:$G$44,診断計算!W4)</f>
        <v>1.2</v>
      </c>
      <c r="X2" s="85">
        <f>INDEX(初期設定!$G$23:$G$44,診断計算!X4)</f>
        <v>0</v>
      </c>
      <c r="Y2" s="85">
        <f>INDEX(初期設定!$G$23:$G$44,診断計算!Y4)</f>
        <v>0</v>
      </c>
      <c r="Z2" s="85">
        <f>INDEX(初期設定!$G$23:$G$44,診断計算!Z4)</f>
        <v>0</v>
      </c>
      <c r="AA2" s="85">
        <f>INDEX(初期設定!$G$23:$G$44,診断計算!AA4)</f>
        <v>0</v>
      </c>
      <c r="AB2" s="85">
        <f>INDEX(初期設定!$G$23:$G$44,診断計算!AB4)</f>
        <v>0</v>
      </c>
      <c r="AC2" s="85">
        <f>INDEX(初期設定!$G$23:$G$44,診断計算!AC4)</f>
        <v>0</v>
      </c>
    </row>
    <row r="3" spans="1:42" s="79" customFormat="1" x14ac:dyDescent="0.2">
      <c r="A3" s="79" t="s">
        <v>101</v>
      </c>
    </row>
    <row r="4" spans="1:42" s="79" customFormat="1" x14ac:dyDescent="0.2">
      <c r="A4" s="80"/>
      <c r="B4" s="81" t="s">
        <v>102</v>
      </c>
      <c r="C4" s="81"/>
      <c r="D4" s="81"/>
      <c r="E4" s="81"/>
      <c r="F4" s="81"/>
      <c r="G4" s="80"/>
      <c r="H4" s="82">
        <v>1</v>
      </c>
      <c r="I4" s="82">
        <v>2</v>
      </c>
      <c r="J4" s="82">
        <v>3</v>
      </c>
      <c r="K4" s="82">
        <v>4</v>
      </c>
      <c r="L4" s="82">
        <v>5</v>
      </c>
      <c r="M4" s="82">
        <v>6</v>
      </c>
      <c r="N4" s="82">
        <v>7</v>
      </c>
      <c r="O4" s="82">
        <v>8</v>
      </c>
      <c r="P4" s="82">
        <v>9</v>
      </c>
      <c r="Q4" s="82">
        <v>10</v>
      </c>
      <c r="R4" s="82">
        <v>11</v>
      </c>
      <c r="S4" s="82">
        <v>12</v>
      </c>
      <c r="T4" s="82">
        <v>13</v>
      </c>
      <c r="U4" s="82">
        <v>14</v>
      </c>
      <c r="V4" s="82">
        <v>15</v>
      </c>
      <c r="W4" s="82">
        <v>16</v>
      </c>
      <c r="X4" s="82">
        <v>17</v>
      </c>
      <c r="Y4" s="82">
        <v>18</v>
      </c>
      <c r="Z4" s="82">
        <v>19</v>
      </c>
      <c r="AA4" s="82">
        <v>20</v>
      </c>
      <c r="AB4" s="82">
        <v>21</v>
      </c>
      <c r="AC4" s="82">
        <v>22</v>
      </c>
      <c r="AE4" s="121"/>
      <c r="AG4" s="156"/>
      <c r="AH4" s="156" t="s">
        <v>324</v>
      </c>
      <c r="AO4" s="156"/>
    </row>
    <row r="5" spans="1:42" ht="46.5" customHeight="1" x14ac:dyDescent="0.2">
      <c r="A5" s="83" t="s">
        <v>38</v>
      </c>
      <c r="B5" s="81" t="s">
        <v>43</v>
      </c>
      <c r="C5" s="81" t="s">
        <v>115</v>
      </c>
      <c r="D5" s="81" t="s">
        <v>116</v>
      </c>
      <c r="E5" s="81" t="s">
        <v>44</v>
      </c>
      <c r="F5" s="81" t="s">
        <v>45</v>
      </c>
      <c r="G5" s="83" t="s">
        <v>103</v>
      </c>
      <c r="H5" s="84" t="str">
        <f>INDEX(初期設定!$C$23:$C$44,診断計算!H4)</f>
        <v>冷蔵庫を1台にする</v>
      </c>
      <c r="I5" s="84" t="str">
        <f>INDEX(初期設定!$C$23:$C$44,診断計算!I4)</f>
        <v>照明をLEDにする</v>
      </c>
      <c r="J5" s="84" t="str">
        <f>INDEX(初期設定!$C$23:$C$44,診断計算!J4)</f>
        <v>テレビや冷蔵庫、便座など、省エネ設定にして使う</v>
      </c>
      <c r="K5" s="84" t="str">
        <f>INDEX(初期設定!$C$23:$C$44,診断計算!K4)</f>
        <v>CO2排出の少ない暖房器具を選んで使う</v>
      </c>
      <c r="L5" s="84" t="str">
        <f>INDEX(初期設定!$C$23:$C$44,診断計算!L4)</f>
        <v>内窓など窓の断熱リフォームや、すだれやオーニングなどで遮熱をする</v>
      </c>
      <c r="M5" s="84" t="str">
        <f>INDEX(初期設定!$C$23:$C$44,診断計算!M4)</f>
        <v>エアコンの室外機周りの整頓やフィルター掃除などメンテナンスする</v>
      </c>
      <c r="N5" s="84" t="str">
        <f>INDEX(初期設定!$C$23:$C$44,診断計算!N4)</f>
        <v>季節によって、お風呂の湯張り温度や量を調整する</v>
      </c>
      <c r="O5" s="84" t="str">
        <f>INDEX(初期設定!$C$23:$C$44,診断計算!O4)</f>
        <v>お風呂の給湯器を高効率型にする</v>
      </c>
      <c r="P5" s="84" t="str">
        <f>INDEX(初期設定!$C$23:$C$44,診断計算!P4)</f>
        <v>節水シャワーヘッドをとりつけて利用する</v>
      </c>
      <c r="Q5" s="84" t="str">
        <f>INDEX(初期設定!$C$23:$C$44,診断計算!Q4)</f>
        <v>なるべく公共交通を使ったり、自転車や徒歩にする</v>
      </c>
      <c r="R5" s="84" t="str">
        <f>INDEX(初期設定!$C$23:$C$44,診断計算!R4)</f>
        <v>電気自動車などエコカーにする</v>
      </c>
      <c r="S5" s="84" t="str">
        <f>INDEX(初期設定!$C$23:$C$44,診断計算!S4)</f>
        <v>エコドライブにこころがける</v>
      </c>
      <c r="T5" s="84" t="str">
        <f>INDEX(初期設定!$C$23:$C$44,診断計算!T4)</f>
        <v>太陽光発電や太陽熱温水器を設置して使う</v>
      </c>
      <c r="U5" s="164" t="str">
        <f>IF(AF7=2,AF10,AF9)</f>
        <v>なるべく公共交通を利用したり自転車や徒歩にする</v>
      </c>
      <c r="V5" s="84" t="str">
        <f>INDEX(初期設定!$C$23:$C$44,診断計算!V4)</f>
        <v>世界のCO2排出をゼロにする目標について調べる</v>
      </c>
      <c r="W5" s="84" t="str">
        <f>INDEX(初期設定!$C$23:$C$44,診断計算!W4)</f>
        <v>検針票などで使用量を見て削減できたかどうかを確認する</v>
      </c>
      <c r="X5" s="84">
        <f>INDEX(初期設定!$C$23:$C$44,診断計算!X4)</f>
        <v>0</v>
      </c>
      <c r="Y5" s="84">
        <f>INDEX(初期設定!$C$23:$C$44,診断計算!Y4)</f>
        <v>0</v>
      </c>
      <c r="Z5" s="84">
        <f>INDEX(初期設定!$C$23:$C$44,診断計算!Z4)</f>
        <v>0</v>
      </c>
      <c r="AA5" s="84">
        <f>INDEX(初期設定!$C$23:$C$44,診断計算!AA4)</f>
        <v>0</v>
      </c>
      <c r="AB5" s="84">
        <f>INDEX(初期設定!$C$23:$C$44,診断計算!AB4)</f>
        <v>0</v>
      </c>
      <c r="AC5" s="84">
        <f>INDEX(初期設定!$C$23:$C$44,診断計算!AC4)</f>
        <v>0</v>
      </c>
      <c r="AD5" s="84" t="str">
        <f>入力!AP21</f>
        <v>オール電化なら1</v>
      </c>
      <c r="AE5" s="84" t="s">
        <v>213</v>
      </c>
      <c r="AF5" s="84" t="s">
        <v>359</v>
      </c>
      <c r="AG5" s="156" t="s">
        <v>362</v>
      </c>
      <c r="AH5" s="85" t="s">
        <v>325</v>
      </c>
      <c r="AI5" s="85" t="s">
        <v>327</v>
      </c>
      <c r="AJ5" s="85" t="s">
        <v>328</v>
      </c>
      <c r="AK5" s="85" t="s">
        <v>329</v>
      </c>
      <c r="AL5" s="85" t="s">
        <v>331</v>
      </c>
      <c r="AM5" s="85" t="s">
        <v>332</v>
      </c>
      <c r="AN5" s="85" t="s">
        <v>334</v>
      </c>
    </row>
    <row r="6" spans="1:42" x14ac:dyDescent="0.2">
      <c r="A6" s="85">
        <f>入力!J4</f>
        <v>1</v>
      </c>
      <c r="B6" s="85">
        <f>IF(INDEX(入力!AK22:AK503,$A6)="","",INDEX(入力!AK22:AK503,$A6))</f>
        <v>12000</v>
      </c>
      <c r="C6" s="85">
        <f>IF(INDEX(入力!AL22:AL503,$A6)="","",INDEX(入力!AL22:AL503,$A6))</f>
        <v>10000</v>
      </c>
      <c r="D6" s="85" t="str">
        <f>IF(INDEX(入力!AM22:AM503,$A6)="","",INDEX(入力!AM22:AM503,$A6))</f>
        <v/>
      </c>
      <c r="E6" s="187" t="str">
        <f>""&amp;INDEX(入力!AN22:AN503,$A6)</f>
        <v/>
      </c>
      <c r="F6" s="85" t="str">
        <f>""&amp;INDEX(入力!AO22:AO503,$A6)</f>
        <v>8000</v>
      </c>
      <c r="G6" s="85">
        <f>INDEX(入力!C22:C503,$A6)</f>
        <v>5</v>
      </c>
      <c r="H6" s="85">
        <f>INDEX(入力!O22:O503,$A6)</f>
        <v>1</v>
      </c>
      <c r="I6" s="85">
        <f>INDEX(入力!P22:P503,$A6)</f>
        <v>2</v>
      </c>
      <c r="J6" s="85">
        <f>INDEX(入力!Q22:Q503,$A6)</f>
        <v>2</v>
      </c>
      <c r="K6" s="85">
        <f>INDEX(入力!R22:R503,$A6)</f>
        <v>1</v>
      </c>
      <c r="L6" s="85">
        <f>INDEX(入力!S22:S503,$A6)</f>
        <v>3</v>
      </c>
      <c r="M6" s="85">
        <f>INDEX(入力!T22:T503,$A6)</f>
        <v>2</v>
      </c>
      <c r="N6" s="85">
        <f>INDEX(入力!U22:U503,$A6)</f>
        <v>2</v>
      </c>
      <c r="O6" s="85">
        <f>INDEX(入力!V22:V503,$A6)</f>
        <v>1</v>
      </c>
      <c r="P6" s="85">
        <f>INDEX(入力!W22:W503,$A6)</f>
        <v>1</v>
      </c>
      <c r="Q6" s="85">
        <f>INDEX(入力!X22:X503,$A6)</f>
        <v>2</v>
      </c>
      <c r="R6" s="85">
        <f>INDEX(入力!Y22:Y503,$A6)</f>
        <v>3</v>
      </c>
      <c r="S6" s="85">
        <f>INDEX(入力!Z22:Z503,$A6)</f>
        <v>2</v>
      </c>
      <c r="T6" s="85">
        <f>INDEX(入力!AA22:AA503,$A6)</f>
        <v>4</v>
      </c>
      <c r="U6" s="85">
        <f>INDEX(入力!AB22:AB503,$A6)</f>
        <v>1</v>
      </c>
      <c r="V6" s="85">
        <f>INDEX(入力!AC22:AC503,$A6)</f>
        <v>1</v>
      </c>
      <c r="W6" s="85">
        <f>INDEX(入力!AD22:AD503,$A6)</f>
        <v>2</v>
      </c>
      <c r="X6" s="85">
        <f>INDEX(入力!AE22:AE503,$A6)</f>
        <v>0</v>
      </c>
      <c r="Y6" s="85">
        <f>INDEX(入力!AF22:AF503,$A6)</f>
        <v>0</v>
      </c>
      <c r="Z6" s="85">
        <f>INDEX(入力!AG22:AG503,$A6)</f>
        <v>0</v>
      </c>
      <c r="AA6" s="85">
        <f>INDEX(入力!AH22:AH503,$A6)</f>
        <v>0</v>
      </c>
      <c r="AB6" s="85">
        <f>INDEX(入力!AI22:AI503,$A6)</f>
        <v>0</v>
      </c>
      <c r="AC6" s="85">
        <f>INDEX(入力!AJ22:AJ503,$A6)</f>
        <v>0</v>
      </c>
      <c r="AD6" s="85">
        <f>INDEX(入力!AP22:AP503,$A6)</f>
        <v>0</v>
      </c>
      <c r="AE6" s="122" t="str">
        <f>INDEX(入力!D22:D503,$A6)</f>
        <v>サンプル</v>
      </c>
      <c r="AF6" s="85">
        <f>INDEX(入力!E22:E503,$A6)</f>
        <v>1</v>
      </c>
      <c r="AG6" s="85">
        <f>INDEX(入力!F22:F503,$A6)</f>
        <v>1</v>
      </c>
      <c r="AH6" s="85">
        <f>INDEX(入力!H22:H503,$A6)</f>
        <v>0</v>
      </c>
      <c r="AI6" s="85">
        <f>INDEX(入力!I22:I503,$A6)</f>
        <v>1</v>
      </c>
      <c r="AJ6" s="85">
        <f>INDEX(入力!J22:J503,$A6)</f>
        <v>1</v>
      </c>
      <c r="AK6" s="85">
        <f>INDEX(入力!K22:K503,$A6)</f>
        <v>0</v>
      </c>
      <c r="AL6" s="85">
        <f>INDEX(入力!L22:L503,$A6)</f>
        <v>0</v>
      </c>
      <c r="AM6" s="85">
        <f>INDEX(入力!M22:M503,$A6)</f>
        <v>0</v>
      </c>
      <c r="AN6" s="85">
        <f>INDEX(入力!N22:N503,$A6)</f>
        <v>1</v>
      </c>
    </row>
    <row r="7" spans="1:42" x14ac:dyDescent="0.2">
      <c r="A7" s="85" t="s">
        <v>46</v>
      </c>
      <c r="B7" s="85">
        <f>IF(B6="","",B6)</f>
        <v>12000</v>
      </c>
      <c r="C7" s="85">
        <f>IF(C6="","",C6)</f>
        <v>10000</v>
      </c>
      <c r="D7" s="85" t="str">
        <f>IF(D6="","",D6)</f>
        <v/>
      </c>
      <c r="E7" s="85">
        <f>IF(E6="",0,E6)</f>
        <v>0</v>
      </c>
      <c r="F7" s="85" t="str">
        <f>IF(F6="",0,F6)</f>
        <v>8000</v>
      </c>
      <c r="G7" s="85">
        <f>IF(G6&lt;=0,3,IF(G6&gt;6,6,G6))</f>
        <v>5</v>
      </c>
      <c r="H7" s="85">
        <f>IF(H6=($C$8+1),INDEX(初期設定!$F$23:$F$44,H4),H6)</f>
        <v>1</v>
      </c>
      <c r="I7" s="85">
        <f>IF(I6=($C$8+1),INDEX(初期設定!$F$23:$F$44,I4),I6)</f>
        <v>2</v>
      </c>
      <c r="J7" s="85">
        <f>IF(J6=($C$8+1),INDEX(初期設定!$F$23:$F$44,J4),J6)</f>
        <v>2</v>
      </c>
      <c r="K7" s="85">
        <f>IF(K6=($C$8+1),INDEX(初期設定!$F$23:$F$44,K4),K6)</f>
        <v>1</v>
      </c>
      <c r="L7" s="85">
        <f>IF(L6=($C$8+1),INDEX(初期設定!$F$23:$F$44,L4),L6)</f>
        <v>3</v>
      </c>
      <c r="M7" s="85">
        <f>IF(M6=($C$8+1),INDEX(初期設定!$F$23:$F$44,M4),M6)</f>
        <v>2</v>
      </c>
      <c r="N7" s="85">
        <f>IF(N6=($C$8+1),INDEX(初期設定!$F$23:$F$44,N4),N6)</f>
        <v>2</v>
      </c>
      <c r="O7" s="85">
        <f>IF(O6=($C$8+1),INDEX(初期設定!$F$23:$F$44,O4),O6)</f>
        <v>1</v>
      </c>
      <c r="P7" s="85">
        <f>IF(P6=($C$8+1),INDEX(初期設定!$F$23:$F$44,P4),P6)</f>
        <v>1</v>
      </c>
      <c r="Q7" s="85">
        <f>IF(Q6=($C$8+1),INDEX(初期設定!$F$23:$F$44,Q4),Q6)</f>
        <v>2</v>
      </c>
      <c r="R7" s="85">
        <f>IF(R6=($C$8+1),INDEX(初期設定!$F$23:$F$44,R4),R6)</f>
        <v>3</v>
      </c>
      <c r="S7" s="85">
        <f>IF(S6=($C$8+1),INDEX(初期設定!$F$23:$F$44,S4),S6)</f>
        <v>2</v>
      </c>
      <c r="T7" s="85">
        <f>IF(T6=($C$8+1),INDEX(初期設定!$F$23:$F$44,T4),T6)</f>
        <v>1</v>
      </c>
      <c r="U7" s="85">
        <f>IF(U6=($C$8+1),INDEX(初期設定!$F$23:$F$44,U4),U6)</f>
        <v>1</v>
      </c>
      <c r="V7" s="85">
        <f>IF(V6=($C$8+1),INDEX(初期設定!$F$23:$F$44,V4),V6)</f>
        <v>1</v>
      </c>
      <c r="W7" s="85">
        <f>IF(W6=($C$8+1),INDEX(初期設定!$F$23:$F$44,W4),W6)</f>
        <v>2</v>
      </c>
      <c r="X7" s="85">
        <f>IF(X6=($C$8+1),INDEX(初期設定!$F$23:$F$44,X4),X6)</f>
        <v>0</v>
      </c>
      <c r="Y7" s="85">
        <f>IF(Y6=($C$8+1),INDEX(初期設定!$F$23:$F$44,Y4),Y6)</f>
        <v>0</v>
      </c>
      <c r="Z7" s="85">
        <f>IF(Z6=($C$8+1),INDEX(初期設定!$F$23:$F$44,Z4),Z6)</f>
        <v>0</v>
      </c>
      <c r="AA7" s="85">
        <f>IF(AA6=($C$8+1),INDEX(初期設定!$F$23:$F$44,AA4),AA6)</f>
        <v>0</v>
      </c>
      <c r="AB7" s="85">
        <f>IF(AB6=($C$8+1),INDEX(初期設定!$F$23:$F$44,AB4),AB6)</f>
        <v>0</v>
      </c>
      <c r="AC7" s="85">
        <f>IF(AC6=($C$8+1),INDEX(初期設定!$F$23:$F$44,AC4),AC6)</f>
        <v>0</v>
      </c>
      <c r="AE7" s="122" t="str">
        <f>IF(OR(AE6="",AE6=0),"",AE6)</f>
        <v>サンプル</v>
      </c>
      <c r="AF7" s="85">
        <f>IF(AF6=1,1,2)</f>
        <v>1</v>
      </c>
      <c r="AG7" s="85">
        <f>IF(AG6=1,1,2)</f>
        <v>1</v>
      </c>
      <c r="AH7" s="85">
        <f t="shared" ref="AH7:AN7" si="0">IF(AH6=1,1,2)</f>
        <v>2</v>
      </c>
      <c r="AI7" s="85">
        <f t="shared" si="0"/>
        <v>1</v>
      </c>
      <c r="AJ7" s="85">
        <f t="shared" si="0"/>
        <v>1</v>
      </c>
      <c r="AK7" s="85">
        <f t="shared" si="0"/>
        <v>2</v>
      </c>
      <c r="AL7" s="85">
        <f t="shared" si="0"/>
        <v>2</v>
      </c>
      <c r="AM7" s="85">
        <f t="shared" si="0"/>
        <v>2</v>
      </c>
      <c r="AN7" s="85">
        <f t="shared" si="0"/>
        <v>1</v>
      </c>
    </row>
    <row r="8" spans="1:42" x14ac:dyDescent="0.2">
      <c r="A8" s="118" t="s">
        <v>214</v>
      </c>
      <c r="B8" s="119"/>
      <c r="C8" s="119">
        <f>IF(初期設定!C19=初期設定!E19,3,4)</f>
        <v>3</v>
      </c>
      <c r="AH8" s="85" t="str">
        <f>IF(AH7=1,AH5&amp;"、","")</f>
        <v/>
      </c>
      <c r="AI8" s="85" t="str">
        <f t="shared" ref="AI8:AN8" si="1">IF(AI7=1,AI5&amp;"、","")</f>
        <v>冷蔵庫、</v>
      </c>
      <c r="AJ8" s="85" t="str">
        <f t="shared" si="1"/>
        <v>照明器具、</v>
      </c>
      <c r="AK8" s="85" t="str">
        <f t="shared" si="1"/>
        <v/>
      </c>
      <c r="AL8" s="85" t="str">
        <f t="shared" si="1"/>
        <v/>
      </c>
      <c r="AM8" s="85" t="str">
        <f t="shared" si="1"/>
        <v/>
      </c>
      <c r="AN8" s="85" t="str">
        <f t="shared" si="1"/>
        <v>車、</v>
      </c>
      <c r="AO8" s="156" t="str">
        <f>AH8&amp;AI8&amp;AJ8&amp;AK8&amp;AL8&amp;AM8&amp;AN8</f>
        <v>冷蔵庫、照明器具、車、</v>
      </c>
      <c r="AP8" s="156" t="str">
        <f>IF(AO8="","家電製品などを買い替えるときには、ぜひ省エネ性能の高いものを選んでください。",AO8&amp;"を長く大切に使っているようです。買い替えの場合にはぜひ省エネ性能で選んでください。")</f>
        <v>冷蔵庫、照明器具、車、を長く大切に使っているようです。買い替えの場合にはぜひ省エネ性能で選んでください。</v>
      </c>
    </row>
    <row r="9" spans="1:42" x14ac:dyDescent="0.2">
      <c r="G9" s="85" t="s">
        <v>47</v>
      </c>
      <c r="H9" s="85">
        <f>INDEX(初期設定!$D23:$D44,H4)</f>
        <v>1</v>
      </c>
      <c r="I9" s="85">
        <f>INDEX(初期設定!$D23:$D44,I4)</f>
        <v>1</v>
      </c>
      <c r="J9" s="85">
        <f>INDEX(初期設定!$D23:$D44,J4)</f>
        <v>1</v>
      </c>
      <c r="K9" s="85">
        <f>INDEX(初期設定!$D23:$D44,K4)</f>
        <v>2</v>
      </c>
      <c r="L9" s="85">
        <f>INDEX(初期設定!$D23:$D44,L4)</f>
        <v>2</v>
      </c>
      <c r="M9" s="85">
        <f>INDEX(初期設定!$D23:$D44,M4)</f>
        <v>2</v>
      </c>
      <c r="N9" s="85">
        <f>INDEX(初期設定!$D23:$D44,N4)</f>
        <v>3</v>
      </c>
      <c r="O9" s="85">
        <f>INDEX(初期設定!$D23:$D44,O4)</f>
        <v>3</v>
      </c>
      <c r="P9" s="85">
        <f>INDEX(初期設定!$D23:$D44,P4)</f>
        <v>3</v>
      </c>
      <c r="Q9" s="85">
        <f>INDEX(初期設定!$D23:$D44,Q4)</f>
        <v>4</v>
      </c>
      <c r="R9" s="85">
        <f>INDEX(初期設定!$D23:$D44,R4)</f>
        <v>4</v>
      </c>
      <c r="S9" s="85">
        <f>INDEX(初期設定!$D23:$D44,S4)</f>
        <v>4</v>
      </c>
      <c r="T9" s="85">
        <f>INDEX(初期設定!$D23:$D44,T4)</f>
        <v>5</v>
      </c>
      <c r="U9" s="85">
        <f>INDEX(初期設定!$D23:$D44,U4)</f>
        <v>5</v>
      </c>
      <c r="V9" s="85">
        <f>INDEX(初期設定!$D23:$D44,V4)</f>
        <v>5</v>
      </c>
      <c r="W9" s="85">
        <f>INDEX(初期設定!$D23:$D44,W4)</f>
        <v>5</v>
      </c>
      <c r="X9" s="85">
        <f>INDEX(初期設定!$D23:$D44,X4)</f>
        <v>0</v>
      </c>
      <c r="Y9" s="85">
        <f>INDEX(初期設定!$D23:$D44,Y4)</f>
        <v>0</v>
      </c>
      <c r="Z9" s="85">
        <f>INDEX(初期設定!$D23:$D44,Z4)</f>
        <v>0</v>
      </c>
      <c r="AA9" s="85">
        <f>INDEX(初期設定!$D23:$D44,AA4)</f>
        <v>0</v>
      </c>
      <c r="AB9" s="85">
        <f>INDEX(初期設定!$D23:$D44,AB4)</f>
        <v>0</v>
      </c>
      <c r="AC9" s="85">
        <f>INDEX(初期設定!$D23:$D44,AC4)</f>
        <v>0</v>
      </c>
      <c r="AE9" s="156" t="s">
        <v>373</v>
      </c>
      <c r="AF9" s="189" t="s">
        <v>360</v>
      </c>
    </row>
    <row r="10" spans="1:42" x14ac:dyDescent="0.2">
      <c r="AF10" s="189" t="s">
        <v>361</v>
      </c>
    </row>
    <row r="11" spans="1:42" x14ac:dyDescent="0.2">
      <c r="A11" s="85" t="s">
        <v>104</v>
      </c>
      <c r="G11" s="85" t="s">
        <v>48</v>
      </c>
      <c r="P11" s="85" t="s">
        <v>225</v>
      </c>
    </row>
    <row r="12" spans="1:42" x14ac:dyDescent="0.2">
      <c r="J12" s="85">
        <v>1</v>
      </c>
      <c r="K12" s="85">
        <v>2</v>
      </c>
      <c r="L12" s="85">
        <v>3</v>
      </c>
      <c r="M12" s="85">
        <v>4</v>
      </c>
      <c r="N12" s="85">
        <v>5</v>
      </c>
    </row>
    <row r="13" spans="1:42" x14ac:dyDescent="0.2">
      <c r="A13" s="85" t="s">
        <v>105</v>
      </c>
      <c r="D13" s="85" t="s">
        <v>256</v>
      </c>
      <c r="J13" s="86" t="str">
        <f>INDEX(初期設定!$C9:$C13,診断計算!J12)</f>
        <v>家電</v>
      </c>
      <c r="K13" s="86" t="str">
        <f>INDEX(初期設定!$C9:$C13,診断計算!K12)</f>
        <v>冷暖房</v>
      </c>
      <c r="L13" s="86" t="str">
        <f>INDEX(初期設定!$C9:$C13,診断計算!L12)</f>
        <v>給湯</v>
      </c>
      <c r="M13" s="86" t="str">
        <f>INDEX(初期設定!$C9:$C13,診断計算!M12)</f>
        <v>車</v>
      </c>
      <c r="N13" s="86" t="str">
        <f>INDEX(初期設定!$C9:$C13,診断計算!N12)</f>
        <v>再ｴﾈ・意識</v>
      </c>
    </row>
    <row r="14" spans="1:42" x14ac:dyDescent="0.2">
      <c r="A14" s="104"/>
      <c r="B14" s="104" t="s">
        <v>49</v>
      </c>
      <c r="C14" s="104" t="s">
        <v>39</v>
      </c>
      <c r="D14" s="104" t="s">
        <v>50</v>
      </c>
      <c r="E14" s="104" t="s">
        <v>40</v>
      </c>
      <c r="I14" s="87" t="s">
        <v>106</v>
      </c>
      <c r="J14" s="86">
        <f>IF(SUMPRODUCT(($H$9:$AC$9=J12)*($H$7:$AC$7&gt;0))=0,"",($C$8-SUMPRODUCT(($H$9:$AC$9=J12)*($H$7:$AC$7))/SUMPRODUCT(($H$9:$AC$9=J12)*($H$7:$AC$7&gt;0)))*100/($C$8-1))</f>
        <v>66.666666666666657</v>
      </c>
      <c r="K14" s="86">
        <f>IF(SUMPRODUCT(($H$9:$AC$9=K12)*($H$7:$AC$7&gt;0))=0,"",($C$8-SUMPRODUCT(($H$9:$AC$9=K12)*($H$7:$AC$7))/SUMPRODUCT(($H$9:$AC$9=K12)*($H$7:$AC$7&gt;0)))*100/($C$8-1))</f>
        <v>50</v>
      </c>
      <c r="L14" s="86">
        <f>IF(SUMPRODUCT(($H$9:$AC$9=L12)*($H$7:$AC$7&gt;0))=0,"",($C$8-SUMPRODUCT(($H$9:$AC$9=L12)*($H$7:$AC$7))/SUMPRODUCT(($H$9:$AC$9=L12)*($H$7:$AC$7&gt;0)))*100/($C$8-1))</f>
        <v>83.333333333333343</v>
      </c>
      <c r="M14" s="86">
        <f>IF(SUMPRODUCT(($H$9:$AC$9=M12)*($H$7:$AC$7&gt;0))=0,"",($C$8-SUMPRODUCT(($H$9:$AC$9=M12)*($H$7:$AC$7))/SUMPRODUCT(($H$9:$AC$9=M12)*($H$7:$AC$7&gt;0)))*100/($C$8-1))</f>
        <v>33.333333333333329</v>
      </c>
      <c r="N14" s="86">
        <f>IF(SUMPRODUCT(($H$9:$AC$9=N12)*($H$7:$AC$7&gt;0))=0,"",($C$8-SUMPRODUCT(($H$9:$AC$9=N12)*($H$7:$AC$7))/SUMPRODUCT(($H$9:$AC$9=N12)*($H$7:$AC$7&gt;0)))*100/($C$8-1))</f>
        <v>87.5</v>
      </c>
      <c r="P14" s="86" t="str">
        <f>IF(初期設定!$C$79="表示する",集計レポート!J56,"")</f>
        <v/>
      </c>
      <c r="Q14" s="86" t="str">
        <f>IF(初期設定!$C$79="表示する",集計レポート!K56,"")</f>
        <v/>
      </c>
      <c r="R14" s="86" t="str">
        <f>IF(初期設定!$C$79="表示する",集計レポート!L56,"")</f>
        <v/>
      </c>
      <c r="S14" s="86" t="str">
        <f>IF(初期設定!$C$79="表示する",集計レポート!M56,"")</f>
        <v/>
      </c>
      <c r="T14" s="86" t="str">
        <f>IF(初期設定!$C$79="表示する",集計レポート!N56,"")</f>
        <v/>
      </c>
    </row>
    <row r="15" spans="1:42" x14ac:dyDescent="0.2">
      <c r="A15" s="104">
        <v>1</v>
      </c>
      <c r="B15" s="154">
        <f t="shared" ref="B15:E20" si="2">B75*B$85</f>
        <v>4227.3679999999995</v>
      </c>
      <c r="C15" s="154">
        <f t="shared" si="2"/>
        <v>3190.4166666666665</v>
      </c>
      <c r="D15" s="154">
        <f t="shared" si="2"/>
        <v>152.93333333333331</v>
      </c>
      <c r="E15" s="154">
        <f t="shared" si="2"/>
        <v>1108.4125000000001</v>
      </c>
      <c r="I15" s="87" t="s">
        <v>51</v>
      </c>
      <c r="J15" s="85" t="str">
        <f>IF(J14=$O15,J12,"")</f>
        <v/>
      </c>
      <c r="K15" s="85" t="str">
        <f>IF(K14=$O15,K12,"")</f>
        <v/>
      </c>
      <c r="L15" s="85" t="str">
        <f>IF(L14=$O15,L12,"")</f>
        <v/>
      </c>
      <c r="M15" s="85">
        <f>IF(M14=$O15,M12,"")</f>
        <v>4</v>
      </c>
      <c r="N15" s="85" t="str">
        <f>IF(N14=$O15,N12,"")</f>
        <v/>
      </c>
      <c r="O15" s="88">
        <f>MIN(J14:N14)</f>
        <v>33.333333333333329</v>
      </c>
      <c r="P15" s="85">
        <f>MAX(J15:N15)</f>
        <v>4</v>
      </c>
    </row>
    <row r="16" spans="1:42" x14ac:dyDescent="0.2">
      <c r="A16" s="104">
        <v>2</v>
      </c>
      <c r="B16" s="154">
        <f t="shared" si="2"/>
        <v>7735.1840000000002</v>
      </c>
      <c r="C16" s="154">
        <f t="shared" si="2"/>
        <v>5092.395833333333</v>
      </c>
      <c r="D16" s="154">
        <f t="shared" si="2"/>
        <v>372</v>
      </c>
      <c r="E16" s="154">
        <f t="shared" si="2"/>
        <v>1945.8797222222227</v>
      </c>
      <c r="I16" s="87" t="s">
        <v>107</v>
      </c>
      <c r="J16" s="85" t="str">
        <f>IF(J14&gt;85,J13,"")</f>
        <v/>
      </c>
      <c r="K16" s="85" t="str">
        <f>IF(K14&gt;85,K13,"")</f>
        <v/>
      </c>
      <c r="L16" s="85" t="str">
        <f>IF(L14&gt;85,L13,"")</f>
        <v/>
      </c>
      <c r="M16" s="85" t="str">
        <f>IF(M14&gt;85,M13,"")</f>
        <v/>
      </c>
      <c r="N16" s="85" t="str">
        <f>IF(N14&gt;85,N13,"")</f>
        <v>再ｴﾈ・意識</v>
      </c>
      <c r="P16" s="89" t="str">
        <f>IF(LEN(J16&amp;K16&amp;L16&amp;M16&amp;N16)&gt;0,MID(IF(J16="","","、"&amp;J16)&amp;IF(K16="","","、"&amp;K16)&amp;IF(L16="","","、"&amp;L16)&amp;IF(M16="","","、"&amp;M16)&amp;IF(N16="","","、"&amp;N16),2,100)&amp;"についてよく取り組めています。","")</f>
        <v>再ｴﾈ・意識についてよく取り組めています。</v>
      </c>
    </row>
    <row r="17" spans="1:32" x14ac:dyDescent="0.2">
      <c r="A17" s="104">
        <v>3</v>
      </c>
      <c r="B17" s="154">
        <f t="shared" si="2"/>
        <v>8904.4560000000001</v>
      </c>
      <c r="C17" s="154">
        <f t="shared" si="2"/>
        <v>6135.416666666667</v>
      </c>
      <c r="D17" s="154">
        <f t="shared" si="2"/>
        <v>372</v>
      </c>
      <c r="E17" s="154">
        <f t="shared" si="2"/>
        <v>2413.8761111111116</v>
      </c>
      <c r="I17" s="87" t="s">
        <v>52</v>
      </c>
      <c r="J17" s="85" t="str">
        <f>IF(J14&lt;60,J13,"")</f>
        <v/>
      </c>
      <c r="K17" s="85" t="str">
        <f>IF(K14&lt;60,K13,"")</f>
        <v>冷暖房</v>
      </c>
      <c r="L17" s="85" t="str">
        <f>IF(L14&lt;60,L13,"")</f>
        <v/>
      </c>
      <c r="M17" s="85" t="str">
        <f>IF(M14&lt;60,M13,"")</f>
        <v>車</v>
      </c>
      <c r="N17" s="85" t="str">
        <f>IF(N14&lt;60,N13,"")</f>
        <v/>
      </c>
      <c r="P17" s="89" t="str">
        <f>IF(LEN(J17&amp;K17&amp;L17&amp;M17&amp;N17)&gt;0,MID(IF(J17="","","、"&amp;J17)&amp;IF(K17="","","、"&amp;K17)&amp;IF(L17="","","、"&amp;L17)&amp;IF(M17="","","、"&amp;M17)&amp;IF(N17="","","、"&amp;N17),2,100)&amp;"の取り組みがやや低めです","")</f>
        <v>冷暖房、車の取り組みがやや低めです</v>
      </c>
    </row>
    <row r="18" spans="1:32" x14ac:dyDescent="0.2">
      <c r="A18" s="104">
        <v>4</v>
      </c>
      <c r="B18" s="154">
        <f t="shared" si="2"/>
        <v>9624.0079999999998</v>
      </c>
      <c r="C18" s="154">
        <f t="shared" si="2"/>
        <v>6748.9583333333348</v>
      </c>
      <c r="D18" s="154">
        <f t="shared" si="2"/>
        <v>351.33333333333331</v>
      </c>
      <c r="E18" s="154">
        <f t="shared" si="2"/>
        <v>2857.2411111111114</v>
      </c>
      <c r="G18" s="156" t="s">
        <v>374</v>
      </c>
      <c r="H18" s="188">
        <v>1</v>
      </c>
      <c r="I18" s="188">
        <v>1</v>
      </c>
      <c r="J18" s="188">
        <v>1</v>
      </c>
      <c r="K18" s="188">
        <v>1</v>
      </c>
      <c r="L18" s="188">
        <v>1</v>
      </c>
      <c r="M18" s="188">
        <v>1</v>
      </c>
      <c r="N18" s="188">
        <v>1</v>
      </c>
      <c r="O18" s="188">
        <v>1</v>
      </c>
      <c r="P18" s="188">
        <v>1</v>
      </c>
      <c r="Q18" s="188">
        <v>1</v>
      </c>
      <c r="R18" s="188">
        <v>1</v>
      </c>
      <c r="S18" s="188">
        <v>1</v>
      </c>
      <c r="T18" s="188">
        <v>1</v>
      </c>
      <c r="U18" s="188">
        <v>1</v>
      </c>
      <c r="V18" s="188">
        <v>1</v>
      </c>
      <c r="W18" s="188">
        <v>1</v>
      </c>
      <c r="X18" s="188">
        <v>1</v>
      </c>
      <c r="Y18" s="188">
        <f>IF(OR(AG6=2,AG6=3),0,1)</f>
        <v>1</v>
      </c>
      <c r="Z18" s="188">
        <v>1</v>
      </c>
      <c r="AA18" s="188">
        <v>1</v>
      </c>
      <c r="AB18" s="188">
        <v>1</v>
      </c>
      <c r="AC18" s="188">
        <v>1</v>
      </c>
    </row>
    <row r="19" spans="1:32" x14ac:dyDescent="0.2">
      <c r="A19" s="104">
        <v>5</v>
      </c>
      <c r="B19" s="154">
        <f t="shared" si="2"/>
        <v>11153.056</v>
      </c>
      <c r="C19" s="154">
        <f t="shared" si="2"/>
        <v>7178.4375</v>
      </c>
      <c r="D19" s="154">
        <f t="shared" si="2"/>
        <v>454.66666666666663</v>
      </c>
      <c r="E19" s="154">
        <f t="shared" si="2"/>
        <v>3103.5549999999998</v>
      </c>
      <c r="H19" s="85" t="s">
        <v>108</v>
      </c>
    </row>
    <row r="20" spans="1:32" x14ac:dyDescent="0.2">
      <c r="A20" s="104">
        <v>6</v>
      </c>
      <c r="B20" s="154">
        <f t="shared" si="2"/>
        <v>13941.32</v>
      </c>
      <c r="C20" s="154">
        <f t="shared" si="2"/>
        <v>7301.145833333333</v>
      </c>
      <c r="D20" s="154">
        <f t="shared" si="2"/>
        <v>690.26666666666654</v>
      </c>
      <c r="E20" s="154">
        <f t="shared" si="2"/>
        <v>3275.9747222222231</v>
      </c>
      <c r="H20" s="85">
        <f ca="1">IF(H9=$P15,H7*H2+RAND()/3,0)*H18</f>
        <v>0</v>
      </c>
      <c r="I20" s="85">
        <f t="shared" ref="I20:AC20" ca="1" si="3">IF(I9=$P15,I7*I2+RAND()/3,0)*I18</f>
        <v>0</v>
      </c>
      <c r="J20" s="85">
        <f t="shared" ca="1" si="3"/>
        <v>0</v>
      </c>
      <c r="K20" s="85">
        <f t="shared" ca="1" si="3"/>
        <v>0</v>
      </c>
      <c r="L20" s="85">
        <f t="shared" ca="1" si="3"/>
        <v>0</v>
      </c>
      <c r="M20" s="85">
        <f t="shared" ca="1" si="3"/>
        <v>0</v>
      </c>
      <c r="N20" s="85">
        <f t="shared" ca="1" si="3"/>
        <v>0</v>
      </c>
      <c r="O20" s="85">
        <f t="shared" ca="1" si="3"/>
        <v>0</v>
      </c>
      <c r="P20" s="85">
        <f t="shared" ca="1" si="3"/>
        <v>0</v>
      </c>
      <c r="Q20" s="85">
        <f t="shared" ca="1" si="3"/>
        <v>3.1633921911367726</v>
      </c>
      <c r="R20" s="85">
        <f t="shared" ca="1" si="3"/>
        <v>4.3817741265073158</v>
      </c>
      <c r="S20" s="85">
        <f t="shared" ca="1" si="3"/>
        <v>2.6880369154695827</v>
      </c>
      <c r="T20" s="85">
        <f t="shared" ca="1" si="3"/>
        <v>0</v>
      </c>
      <c r="U20" s="85">
        <f t="shared" ca="1" si="3"/>
        <v>0</v>
      </c>
      <c r="V20" s="85">
        <f t="shared" ca="1" si="3"/>
        <v>0</v>
      </c>
      <c r="W20" s="85">
        <f t="shared" ca="1" si="3"/>
        <v>0</v>
      </c>
      <c r="X20" s="85">
        <f t="shared" ca="1" si="3"/>
        <v>0</v>
      </c>
      <c r="Y20" s="85">
        <f t="shared" ca="1" si="3"/>
        <v>0</v>
      </c>
      <c r="Z20" s="85">
        <f t="shared" ca="1" si="3"/>
        <v>0</v>
      </c>
      <c r="AA20" s="85">
        <f t="shared" ca="1" si="3"/>
        <v>0</v>
      </c>
      <c r="AB20" s="85">
        <f t="shared" ca="1" si="3"/>
        <v>0</v>
      </c>
      <c r="AC20" s="85">
        <f t="shared" ca="1" si="3"/>
        <v>0</v>
      </c>
    </row>
    <row r="21" spans="1:32" x14ac:dyDescent="0.2">
      <c r="A21" s="85" t="s">
        <v>192</v>
      </c>
      <c r="B21" s="86"/>
      <c r="C21" s="86"/>
      <c r="D21" s="86"/>
      <c r="E21" s="86"/>
      <c r="F21" s="86"/>
      <c r="H21" s="85" t="str">
        <f t="shared" ref="H21:AC21" ca="1" si="4">IF(H20=$AD21,H4,"")</f>
        <v/>
      </c>
      <c r="I21" s="85" t="str">
        <f t="shared" ca="1" si="4"/>
        <v/>
      </c>
      <c r="J21" s="85" t="str">
        <f t="shared" ca="1" si="4"/>
        <v/>
      </c>
      <c r="K21" s="85" t="str">
        <f t="shared" ca="1" si="4"/>
        <v/>
      </c>
      <c r="L21" s="85" t="str">
        <f t="shared" ca="1" si="4"/>
        <v/>
      </c>
      <c r="M21" s="85" t="str">
        <f t="shared" ca="1" si="4"/>
        <v/>
      </c>
      <c r="N21" s="85" t="str">
        <f t="shared" ca="1" si="4"/>
        <v/>
      </c>
      <c r="O21" s="85" t="str">
        <f t="shared" ca="1" si="4"/>
        <v/>
      </c>
      <c r="P21" s="85" t="str">
        <f t="shared" ca="1" si="4"/>
        <v/>
      </c>
      <c r="Q21" s="85" t="str">
        <f t="shared" ca="1" si="4"/>
        <v/>
      </c>
      <c r="R21" s="85">
        <f t="shared" ca="1" si="4"/>
        <v>11</v>
      </c>
      <c r="S21" s="85" t="str">
        <f t="shared" ca="1" si="4"/>
        <v/>
      </c>
      <c r="T21" s="85" t="str">
        <f t="shared" ca="1" si="4"/>
        <v/>
      </c>
      <c r="U21" s="85" t="str">
        <f t="shared" ca="1" si="4"/>
        <v/>
      </c>
      <c r="V21" s="85" t="str">
        <f t="shared" ca="1" si="4"/>
        <v/>
      </c>
      <c r="W21" s="85" t="str">
        <f t="shared" ca="1" si="4"/>
        <v/>
      </c>
      <c r="X21" s="85" t="str">
        <f t="shared" ca="1" si="4"/>
        <v/>
      </c>
      <c r="Y21" s="85" t="str">
        <f t="shared" ca="1" si="4"/>
        <v/>
      </c>
      <c r="Z21" s="85" t="str">
        <f t="shared" ca="1" si="4"/>
        <v/>
      </c>
      <c r="AA21" s="85" t="str">
        <f t="shared" ca="1" si="4"/>
        <v/>
      </c>
      <c r="AB21" s="85" t="str">
        <f t="shared" ca="1" si="4"/>
        <v/>
      </c>
      <c r="AC21" s="85" t="str">
        <f t="shared" ca="1" si="4"/>
        <v/>
      </c>
      <c r="AD21" s="85">
        <f ca="1">MAX(H20:AC20)</f>
        <v>4.3817741265073158</v>
      </c>
      <c r="AE21" s="156">
        <f ca="1">MAX(H21:AC21)</f>
        <v>11</v>
      </c>
      <c r="AF21" s="85" t="str">
        <f ca="1">"「"&amp;INDEX(H5:AC5,AE21)&amp;"」"</f>
        <v>「電気自動車などエコカーにする」</v>
      </c>
    </row>
    <row r="22" spans="1:32" x14ac:dyDescent="0.2">
      <c r="A22" s="111" t="s">
        <v>257</v>
      </c>
      <c r="B22" s="151">
        <v>21.77</v>
      </c>
      <c r="C22" s="112">
        <v>534.97142857142853</v>
      </c>
      <c r="D22" s="112">
        <v>56.6</v>
      </c>
      <c r="E22" s="112">
        <v>113.53571428571426</v>
      </c>
      <c r="F22" s="86"/>
      <c r="H22" s="85" t="s">
        <v>53</v>
      </c>
    </row>
    <row r="23" spans="1:32" x14ac:dyDescent="0.2">
      <c r="A23" s="85" t="s">
        <v>285</v>
      </c>
      <c r="B23" s="94">
        <v>26.17</v>
      </c>
      <c r="C23" s="86">
        <v>781.1</v>
      </c>
      <c r="D23" s="85">
        <v>85.11</v>
      </c>
      <c r="E23" s="85">
        <v>142.69999999999999</v>
      </c>
      <c r="F23" s="156" t="s">
        <v>311</v>
      </c>
      <c r="H23" s="85">
        <f ca="1">IF(H21="",H7*H2+RAND()/3,0)*H18</f>
        <v>1.0037352593910134</v>
      </c>
      <c r="I23" s="85">
        <f t="shared" ref="I23:AC23" ca="1" si="5">IF(I21="",I7*I2+RAND()/3,0)*I18</f>
        <v>3.0083495198995367</v>
      </c>
      <c r="J23" s="85">
        <f t="shared" ca="1" si="5"/>
        <v>2.1144959450472149</v>
      </c>
      <c r="K23" s="85">
        <f t="shared" ca="1" si="5"/>
        <v>1.7365863119603573</v>
      </c>
      <c r="L23" s="85">
        <f t="shared" ca="1" si="5"/>
        <v>4.4723676543515145</v>
      </c>
      <c r="M23" s="85">
        <f t="shared" ca="1" si="5"/>
        <v>2.9007328957643579</v>
      </c>
      <c r="N23" s="85">
        <f t="shared" ca="1" si="5"/>
        <v>2.2114704593038907</v>
      </c>
      <c r="O23" s="85">
        <f t="shared" ca="1" si="5"/>
        <v>1.6206435897182065</v>
      </c>
      <c r="P23" s="85">
        <f t="shared" ca="1" si="5"/>
        <v>1.5999866318618461</v>
      </c>
      <c r="Q23" s="85">
        <f t="shared" ca="1" si="5"/>
        <v>3.1819997116139205</v>
      </c>
      <c r="R23" s="85">
        <f t="shared" ca="1" si="5"/>
        <v>0</v>
      </c>
      <c r="S23" s="85">
        <f t="shared" ca="1" si="5"/>
        <v>2.6028957125788352</v>
      </c>
      <c r="T23" s="85">
        <f t="shared" ca="1" si="5"/>
        <v>1.6430197868372143</v>
      </c>
      <c r="U23" s="85">
        <f t="shared" ca="1" si="5"/>
        <v>1.4695199763236659</v>
      </c>
      <c r="V23" s="85">
        <f t="shared" ca="1" si="5"/>
        <v>1.5799707990259377</v>
      </c>
      <c r="W23" s="85">
        <f t="shared" ca="1" si="5"/>
        <v>2.6565617088558895</v>
      </c>
      <c r="X23" s="85">
        <f t="shared" ca="1" si="5"/>
        <v>0.20152817200713824</v>
      </c>
      <c r="Y23" s="85">
        <f t="shared" ca="1" si="5"/>
        <v>0.16863588457133302</v>
      </c>
      <c r="Z23" s="85">
        <f t="shared" ca="1" si="5"/>
        <v>0.1478157499378385</v>
      </c>
      <c r="AA23" s="85">
        <f t="shared" ca="1" si="5"/>
        <v>2.8596191399392992E-3</v>
      </c>
      <c r="AB23" s="85">
        <f t="shared" ca="1" si="5"/>
        <v>0.1035171109557298</v>
      </c>
      <c r="AC23" s="85">
        <f t="shared" ca="1" si="5"/>
        <v>0.19199675203475555</v>
      </c>
    </row>
    <row r="24" spans="1:32" x14ac:dyDescent="0.2">
      <c r="A24" s="85" t="s">
        <v>109</v>
      </c>
      <c r="G24" s="85" t="str">
        <f ca="1">IF(H23=$AD24,H4,"")</f>
        <v/>
      </c>
      <c r="H24" s="85" t="str">
        <f ca="1">IF(H23=$AD24,H4,"")</f>
        <v/>
      </c>
      <c r="I24" s="85" t="str">
        <f t="shared" ref="I24:AC24" ca="1" si="6">IF(I23=$AD24,I4,"")</f>
        <v/>
      </c>
      <c r="J24" s="85" t="str">
        <f t="shared" ca="1" si="6"/>
        <v/>
      </c>
      <c r="K24" s="85" t="str">
        <f t="shared" ca="1" si="6"/>
        <v/>
      </c>
      <c r="L24" s="85">
        <f t="shared" ca="1" si="6"/>
        <v>5</v>
      </c>
      <c r="M24" s="85" t="str">
        <f t="shared" ca="1" si="6"/>
        <v/>
      </c>
      <c r="N24" s="85" t="str">
        <f t="shared" ca="1" si="6"/>
        <v/>
      </c>
      <c r="O24" s="85" t="str">
        <f t="shared" ca="1" si="6"/>
        <v/>
      </c>
      <c r="P24" s="85" t="str">
        <f t="shared" ca="1" si="6"/>
        <v/>
      </c>
      <c r="Q24" s="85" t="str">
        <f t="shared" ca="1" si="6"/>
        <v/>
      </c>
      <c r="R24" s="85" t="str">
        <f t="shared" ca="1" si="6"/>
        <v/>
      </c>
      <c r="S24" s="85" t="str">
        <f t="shared" ca="1" si="6"/>
        <v/>
      </c>
      <c r="T24" s="85" t="str">
        <f t="shared" ca="1" si="6"/>
        <v/>
      </c>
      <c r="U24" s="85" t="str">
        <f t="shared" ca="1" si="6"/>
        <v/>
      </c>
      <c r="V24" s="85" t="str">
        <f t="shared" ca="1" si="6"/>
        <v/>
      </c>
      <c r="W24" s="85" t="str">
        <f t="shared" ca="1" si="6"/>
        <v/>
      </c>
      <c r="X24" s="85" t="str">
        <f t="shared" ca="1" si="6"/>
        <v/>
      </c>
      <c r="Y24" s="85" t="str">
        <f t="shared" ca="1" si="6"/>
        <v/>
      </c>
      <c r="Z24" s="85" t="str">
        <f t="shared" ca="1" si="6"/>
        <v/>
      </c>
      <c r="AA24" s="85" t="str">
        <f t="shared" ca="1" si="6"/>
        <v/>
      </c>
      <c r="AB24" s="85" t="str">
        <f t="shared" ca="1" si="6"/>
        <v/>
      </c>
      <c r="AC24" s="85" t="str">
        <f t="shared" ca="1" si="6"/>
        <v/>
      </c>
      <c r="AD24" s="85">
        <f ca="1">MAX(H23:AC23)</f>
        <v>4.4723676543515145</v>
      </c>
      <c r="AE24" s="156">
        <f ca="1">MAX(H24:AC24)</f>
        <v>5</v>
      </c>
      <c r="AF24" s="85" t="str">
        <f ca="1">IF(INDEX(H7:AC7,AE24)=1,"","「"&amp;INDEX(H5:AC5,AE24)&amp;"」")</f>
        <v>「内窓など窓の断熱リフォームや、すだれやオーニングなどで遮熱をする」</v>
      </c>
    </row>
    <row r="25" spans="1:32" x14ac:dyDescent="0.2">
      <c r="B25" s="85" t="s">
        <v>54</v>
      </c>
      <c r="C25" s="85" t="str">
        <f>IF(D6="","都市ガス","LPガス")</f>
        <v>都市ガス</v>
      </c>
      <c r="D25" s="85" t="s">
        <v>55</v>
      </c>
      <c r="E25" s="85" t="s">
        <v>40</v>
      </c>
      <c r="H25" s="156" t="s">
        <v>355</v>
      </c>
    </row>
    <row r="26" spans="1:32" x14ac:dyDescent="0.2">
      <c r="A26" s="85" t="s">
        <v>41</v>
      </c>
      <c r="B26" s="86">
        <f>B7</f>
        <v>12000</v>
      </c>
      <c r="C26" s="86">
        <f>IF(AND(C7="",D7=""),"",MAX(C7:D7))</f>
        <v>10000</v>
      </c>
      <c r="D26" s="86">
        <f>VALUE(E7)</f>
        <v>0</v>
      </c>
      <c r="E26" s="86">
        <f>VALUE(F7)</f>
        <v>8000</v>
      </c>
      <c r="H26" s="85">
        <f ca="1">IF(AND(H24="",H21=""),H$7*H2+RAND()/3,0)*H18</f>
        <v>1.106761418707968</v>
      </c>
      <c r="I26" s="85">
        <f t="shared" ref="I26:AC26" ca="1" si="7">IF(AND(I24="",I21=""),I$7*I2+RAND()/3,0)*I18</f>
        <v>2.867264355173166</v>
      </c>
      <c r="J26" s="85">
        <f t="shared" ca="1" si="7"/>
        <v>2.1699032086656143</v>
      </c>
      <c r="K26" s="85">
        <f t="shared" ca="1" si="7"/>
        <v>1.5241572720975547</v>
      </c>
      <c r="L26" s="85">
        <f t="shared" ca="1" si="7"/>
        <v>0</v>
      </c>
      <c r="M26" s="85">
        <f t="shared" ca="1" si="7"/>
        <v>2.7304484463607772</v>
      </c>
      <c r="N26" s="85">
        <f t="shared" ca="1" si="7"/>
        <v>2.1458362501166488</v>
      </c>
      <c r="O26" s="85">
        <f t="shared" ca="1" si="7"/>
        <v>1.5576373620901065</v>
      </c>
      <c r="P26" s="85">
        <f t="shared" ca="1" si="7"/>
        <v>1.5485373229115751</v>
      </c>
      <c r="Q26" s="85">
        <f t="shared" ca="1" si="7"/>
        <v>3.2149847921238899</v>
      </c>
      <c r="R26" s="85">
        <f t="shared" ca="1" si="7"/>
        <v>0</v>
      </c>
      <c r="S26" s="85">
        <f t="shared" ca="1" si="7"/>
        <v>2.9228749854822014</v>
      </c>
      <c r="T26" s="85">
        <f t="shared" ca="1" si="7"/>
        <v>1.7804562956135901</v>
      </c>
      <c r="U26" s="85">
        <f t="shared" ca="1" si="7"/>
        <v>1.557118764955383</v>
      </c>
      <c r="V26" s="85">
        <f t="shared" ca="1" si="7"/>
        <v>1.3846624908098568</v>
      </c>
      <c r="W26" s="85">
        <f t="shared" ca="1" si="7"/>
        <v>2.7078789024075784</v>
      </c>
      <c r="X26" s="85">
        <f t="shared" ca="1" si="7"/>
        <v>0.14912062128681947</v>
      </c>
      <c r="Y26" s="85">
        <f t="shared" ca="1" si="7"/>
        <v>8.6788429868485006E-2</v>
      </c>
      <c r="Z26" s="85">
        <f t="shared" ca="1" si="7"/>
        <v>0.16347705380290309</v>
      </c>
      <c r="AA26" s="85">
        <f t="shared" ca="1" si="7"/>
        <v>9.9344227348340697E-2</v>
      </c>
      <c r="AB26" s="85">
        <f t="shared" ca="1" si="7"/>
        <v>0.26144674514195215</v>
      </c>
      <c r="AC26" s="85">
        <f t="shared" ca="1" si="7"/>
        <v>0.24383570078326741</v>
      </c>
    </row>
    <row r="27" spans="1:32" x14ac:dyDescent="0.2">
      <c r="A27" s="85" t="str">
        <f>G7&amp;"人家族の標準"</f>
        <v>5人家族の標準</v>
      </c>
      <c r="B27" s="86">
        <f>(IF(AD6=1,B106,0)+IF(AD6=1,B97,0)+B99*IF(AD6=1,(1/B104*0.2+0.8),1))</f>
        <v>13407.233602204871</v>
      </c>
      <c r="C27" s="86">
        <f>IF(AD6=1,0,IF(D7=0,1,(B92+B91*10)/10/診断計算!C22)*INDEX(C15:C20,$G7))*IF(AF7=2,C88,1)</f>
        <v>10152.328745860928</v>
      </c>
      <c r="D27" s="86">
        <f>INDEX(D15:D20,$G7)*D23/D22*IF(AF7=2,D88,1)</f>
        <v>683.68692579505284</v>
      </c>
      <c r="E27" s="86">
        <f>INDEX(E15:E20,$G7)*初期設定!E63/診断計算!E22*IF(AF7=2,E88,1)</f>
        <v>3662.9563888015105</v>
      </c>
      <c r="F27" s="85" t="s">
        <v>265</v>
      </c>
      <c r="H27" s="85" t="str">
        <f ca="1">IF(H26=$AD27,H$4,"")</f>
        <v/>
      </c>
      <c r="I27" s="85" t="str">
        <f t="shared" ref="I27:AC27" ca="1" si="8">IF(I26=$AD27,I$4,"")</f>
        <v/>
      </c>
      <c r="J27" s="85" t="str">
        <f t="shared" ca="1" si="8"/>
        <v/>
      </c>
      <c r="K27" s="85" t="str">
        <f t="shared" ca="1" si="8"/>
        <v/>
      </c>
      <c r="L27" s="85" t="str">
        <f t="shared" ca="1" si="8"/>
        <v/>
      </c>
      <c r="M27" s="85" t="str">
        <f t="shared" ca="1" si="8"/>
        <v/>
      </c>
      <c r="N27" s="85" t="str">
        <f t="shared" ca="1" si="8"/>
        <v/>
      </c>
      <c r="O27" s="85" t="str">
        <f t="shared" ca="1" si="8"/>
        <v/>
      </c>
      <c r="P27" s="85" t="str">
        <f t="shared" ca="1" si="8"/>
        <v/>
      </c>
      <c r="Q27" s="85">
        <f t="shared" ca="1" si="8"/>
        <v>10</v>
      </c>
      <c r="R27" s="85" t="str">
        <f t="shared" ca="1" si="8"/>
        <v/>
      </c>
      <c r="S27" s="85" t="str">
        <f t="shared" ca="1" si="8"/>
        <v/>
      </c>
      <c r="T27" s="85" t="str">
        <f t="shared" ca="1" si="8"/>
        <v/>
      </c>
      <c r="U27" s="85" t="str">
        <f t="shared" ca="1" si="8"/>
        <v/>
      </c>
      <c r="V27" s="85" t="str">
        <f t="shared" ca="1" si="8"/>
        <v/>
      </c>
      <c r="W27" s="85" t="str">
        <f t="shared" ca="1" si="8"/>
        <v/>
      </c>
      <c r="X27" s="85" t="str">
        <f t="shared" ca="1" si="8"/>
        <v/>
      </c>
      <c r="Y27" s="85" t="str">
        <f t="shared" ca="1" si="8"/>
        <v/>
      </c>
      <c r="Z27" s="85" t="str">
        <f t="shared" ca="1" si="8"/>
        <v/>
      </c>
      <c r="AA27" s="85" t="str">
        <f t="shared" ca="1" si="8"/>
        <v/>
      </c>
      <c r="AB27" s="85" t="str">
        <f t="shared" ca="1" si="8"/>
        <v/>
      </c>
      <c r="AC27" s="85" t="str">
        <f t="shared" ca="1" si="8"/>
        <v/>
      </c>
      <c r="AD27" s="85">
        <f ca="1">MAX(H26:AC26)</f>
        <v>3.2149847921238899</v>
      </c>
      <c r="AE27" s="156">
        <f ca="1">MAX(H27:AC27)</f>
        <v>10</v>
      </c>
      <c r="AF27" s="85" t="str">
        <f ca="1">IF(INDEX(H$7:AC$7,AE27)=1,"","「"&amp;INDEX(H$5:AC$5,AE27)&amp;"」")</f>
        <v>「なるべく公共交通を使ったり、自転車や徒歩にする」</v>
      </c>
    </row>
    <row r="28" spans="1:32" x14ac:dyDescent="0.2">
      <c r="A28" s="85" t="s">
        <v>56</v>
      </c>
      <c r="B28" s="90">
        <f>IF(B7="","",B26/B27)</f>
        <v>0.89503922703536354</v>
      </c>
      <c r="C28" s="90">
        <f>IF(C26="","",C26/C27)</f>
        <v>0.98499568427361728</v>
      </c>
      <c r="D28" s="90">
        <f>D26/D27</f>
        <v>0</v>
      </c>
      <c r="E28" s="90">
        <f>E26/E27</f>
        <v>2.1840281867558722</v>
      </c>
      <c r="F28" s="156" t="s">
        <v>292</v>
      </c>
    </row>
    <row r="29" spans="1:32" x14ac:dyDescent="0.2">
      <c r="A29" s="85" t="s">
        <v>57</v>
      </c>
      <c r="B29" s="85" t="str">
        <f>IF(B26="","みましょう",IF(B28&gt;1.5,"多め",IF(B28&gt;1.2,"やや多め",IF(B28&gt;0.9,"ふつう",IF(B28&gt;0.7,"やや少なめ","少なめ")))))</f>
        <v>やや少なめ</v>
      </c>
      <c r="C29" s="85" t="str">
        <f>IF(AD6=1,"",IF(AND(C26="",B26=""),"みましょう",IF(C28&gt;1.5,"多め",IF(C28&gt;1.2,"やや多め",IF(C28&gt;0.9,"ふつう",IF(C28&gt;0.7,"やや少なめ","少なめ"))))))</f>
        <v>ふつう</v>
      </c>
      <c r="D29" s="85" t="str">
        <f>IF(D28&gt;3,"多め",IF(D28&gt;1.5,"やや多め",IF(D28&gt;0.9,"ふつう",IF(D28&gt;0.7,"やや少なめ","少なめ"))))</f>
        <v>少なめ</v>
      </c>
      <c r="E29" s="85" t="str">
        <f>IF(E28&gt;3,"多め",IF(E28&gt;1.5,"やや多め",IF(E28&gt;0.9,"ふつう",IF(E28&gt;0.7,"やや少なめ","少なめ"))))</f>
        <v>やや多め</v>
      </c>
    </row>
    <row r="31" spans="1:32" x14ac:dyDescent="0.2">
      <c r="H31" s="156" t="s">
        <v>358</v>
      </c>
    </row>
    <row r="32" spans="1:32" x14ac:dyDescent="0.2">
      <c r="H32" s="85">
        <f ca="1">(3-H23)*(H7=1)</f>
        <v>1.9962647406089866</v>
      </c>
      <c r="I32" s="85">
        <f t="shared" ref="I32:AC32" ca="1" si="9">(3-I23)*(I7=1)</f>
        <v>0</v>
      </c>
      <c r="J32" s="85">
        <f t="shared" ca="1" si="9"/>
        <v>0</v>
      </c>
      <c r="K32" s="85">
        <f t="shared" ca="1" si="9"/>
        <v>1.2634136880396427</v>
      </c>
      <c r="L32" s="85">
        <f t="shared" ca="1" si="9"/>
        <v>0</v>
      </c>
      <c r="M32" s="85">
        <f t="shared" ca="1" si="9"/>
        <v>0</v>
      </c>
      <c r="N32" s="85">
        <f t="shared" ca="1" si="9"/>
        <v>0</v>
      </c>
      <c r="O32" s="85">
        <f t="shared" ca="1" si="9"/>
        <v>1.3793564102817935</v>
      </c>
      <c r="P32" s="85">
        <f t="shared" ca="1" si="9"/>
        <v>1.4000133681381539</v>
      </c>
      <c r="Q32" s="85">
        <f t="shared" ca="1" si="9"/>
        <v>0</v>
      </c>
      <c r="R32" s="85">
        <f t="shared" ca="1" si="9"/>
        <v>0</v>
      </c>
      <c r="S32" s="85">
        <f t="shared" ca="1" si="9"/>
        <v>0</v>
      </c>
      <c r="T32" s="85">
        <f t="shared" ca="1" si="9"/>
        <v>1.3569802131627857</v>
      </c>
      <c r="U32" s="85">
        <f t="shared" ca="1" si="9"/>
        <v>1.5304800236763341</v>
      </c>
      <c r="V32" s="85">
        <f t="shared" ca="1" si="9"/>
        <v>1.4200292009740623</v>
      </c>
      <c r="W32" s="85">
        <f t="shared" ca="1" si="9"/>
        <v>0</v>
      </c>
      <c r="X32" s="85">
        <f t="shared" ca="1" si="9"/>
        <v>0</v>
      </c>
      <c r="Y32" s="85">
        <f t="shared" ca="1" si="9"/>
        <v>0</v>
      </c>
      <c r="Z32" s="85">
        <f t="shared" ca="1" si="9"/>
        <v>0</v>
      </c>
      <c r="AA32" s="85">
        <f t="shared" ca="1" si="9"/>
        <v>0</v>
      </c>
      <c r="AB32" s="85">
        <f t="shared" ca="1" si="9"/>
        <v>0</v>
      </c>
      <c r="AC32" s="85">
        <f t="shared" ca="1" si="9"/>
        <v>0</v>
      </c>
    </row>
    <row r="33" spans="1:33" x14ac:dyDescent="0.2">
      <c r="H33" s="85" t="str">
        <f ca="1">IF(IF(H32=0,"",RANK(H32,$H32:$AC32))&lt;=3,H5&amp;"、","")</f>
        <v>冷蔵庫を1台にする、</v>
      </c>
      <c r="I33" s="85" t="str">
        <f t="shared" ref="I33:AC33" ca="1" si="10">IF(IF(I32=0,"",RANK(I32,$H32:$AC32))&lt;=3,I5&amp;"、","")</f>
        <v/>
      </c>
      <c r="J33" s="85" t="str">
        <f t="shared" ca="1" si="10"/>
        <v/>
      </c>
      <c r="K33" s="85" t="str">
        <f t="shared" ca="1" si="10"/>
        <v/>
      </c>
      <c r="L33" s="85" t="str">
        <f t="shared" ca="1" si="10"/>
        <v/>
      </c>
      <c r="M33" s="85" t="str">
        <f t="shared" ca="1" si="10"/>
        <v/>
      </c>
      <c r="N33" s="85" t="str">
        <f t="shared" ca="1" si="10"/>
        <v/>
      </c>
      <c r="O33" s="85" t="str">
        <f t="shared" ca="1" si="10"/>
        <v/>
      </c>
      <c r="P33" s="85" t="str">
        <f t="shared" ca="1" si="10"/>
        <v/>
      </c>
      <c r="Q33" s="85" t="str">
        <f t="shared" ca="1" si="10"/>
        <v/>
      </c>
      <c r="R33" s="85" t="str">
        <f t="shared" ca="1" si="10"/>
        <v/>
      </c>
      <c r="S33" s="85" t="str">
        <f t="shared" ca="1" si="10"/>
        <v/>
      </c>
      <c r="T33" s="85" t="str">
        <f t="shared" ca="1" si="10"/>
        <v/>
      </c>
      <c r="U33" s="85" t="str">
        <f t="shared" ca="1" si="10"/>
        <v>なるべく公共交通を利用したり自転車や徒歩にする、</v>
      </c>
      <c r="V33" s="85" t="str">
        <f t="shared" ca="1" si="10"/>
        <v>世界のCO2排出をゼロにする目標について調べる、</v>
      </c>
      <c r="W33" s="85" t="str">
        <f t="shared" ca="1" si="10"/>
        <v/>
      </c>
      <c r="X33" s="85" t="str">
        <f t="shared" ca="1" si="10"/>
        <v/>
      </c>
      <c r="Y33" s="85" t="str">
        <f t="shared" ca="1" si="10"/>
        <v/>
      </c>
      <c r="Z33" s="85" t="str">
        <f t="shared" ca="1" si="10"/>
        <v/>
      </c>
      <c r="AA33" s="85" t="str">
        <f t="shared" ca="1" si="10"/>
        <v/>
      </c>
      <c r="AB33" s="85" t="str">
        <f t="shared" ca="1" si="10"/>
        <v/>
      </c>
      <c r="AC33" s="85" t="str">
        <f t="shared" ca="1" si="10"/>
        <v/>
      </c>
      <c r="AF33" s="85" t="str">
        <f ca="1">H33&amp;I33&amp;J33&amp;K33&amp;L33&amp;M33&amp;N33&amp;O33&amp;P33&amp;Q33&amp;R33&amp;S33&amp;T33&amp;U33&amp;V33&amp;W33&amp;X33&amp;Y33&amp;Z33&amp;AA33&amp;AB33&amp;AC33</f>
        <v>冷蔵庫を1台にする、なるべく公共交通を利用したり自転車や徒歩にする、世界のCO2排出をゼロにする目標について調べる、</v>
      </c>
      <c r="AG33" s="85" t="str">
        <f ca="1">IF(AF33="","ぜひCOOL CHOICEの取組みにチャレンジしてみてください。",AF33&amp;"といった取り組みができているのは素晴らしいです。")</f>
        <v>冷蔵庫を1台にする、なるべく公共交通を利用したり自転車や徒歩にする、世界のCO2排出をゼロにする目標について調べる、といった取り組みができているのは素晴らしいです。</v>
      </c>
    </row>
    <row r="45" spans="1:33" x14ac:dyDescent="0.2">
      <c r="G45" s="156" t="s">
        <v>309</v>
      </c>
    </row>
    <row r="46" spans="1:33" x14ac:dyDescent="0.2">
      <c r="G46" s="156" t="s">
        <v>306</v>
      </c>
    </row>
    <row r="47" spans="1:33" x14ac:dyDescent="0.2">
      <c r="A47" s="91" t="s">
        <v>121</v>
      </c>
    </row>
    <row r="48" spans="1:33" x14ac:dyDescent="0.2">
      <c r="A48" s="91"/>
      <c r="C48" s="85" t="s">
        <v>58</v>
      </c>
      <c r="D48" s="85" t="s">
        <v>59</v>
      </c>
      <c r="E48" s="85" t="s">
        <v>126</v>
      </c>
      <c r="F48" s="85" t="s">
        <v>129</v>
      </c>
      <c r="H48" s="85" t="s">
        <v>135</v>
      </c>
    </row>
    <row r="49" spans="1:8" x14ac:dyDescent="0.2">
      <c r="B49" s="85" t="str">
        <f>初期設定!C53</f>
        <v>範囲1：15～120kWh　関西電力2015年7月</v>
      </c>
      <c r="C49" s="85">
        <f>IF(OR(初期設定!D51=0,初期設定!D51=""),初期設定!D52-15*D49,MIN(6,1+INT((B7+2000)/4000))*初期設定!D51)</f>
        <v>40.129999999999995</v>
      </c>
      <c r="D49" s="85">
        <f>初期設定!E53+初期設定!E56</f>
        <v>22.240000000000002</v>
      </c>
      <c r="E49" s="85">
        <f>初期設定!F53</f>
        <v>120</v>
      </c>
      <c r="F49" s="86">
        <f>IF(E49=0,IF(D49=0,0,1000000),C49+D49*E49)</f>
        <v>2708.9300000000003</v>
      </c>
      <c r="G49" s="85" t="s">
        <v>60</v>
      </c>
      <c r="H49" s="85" t="str">
        <f>IF($B$7&lt;F49,($B$7-C49)/D49,"")</f>
        <v/>
      </c>
    </row>
    <row r="50" spans="1:8" x14ac:dyDescent="0.2">
      <c r="B50" s="85" t="str">
        <f>初期設定!C54</f>
        <v>範囲2：120～300kWh</v>
      </c>
      <c r="C50" s="85">
        <f>F49-E49*D50</f>
        <v>-731.4699999999998</v>
      </c>
      <c r="D50" s="85">
        <f>初期設定!E54+初期設定!E56</f>
        <v>28.67</v>
      </c>
      <c r="E50" s="85">
        <f>初期設定!F54</f>
        <v>300</v>
      </c>
      <c r="F50" s="86">
        <f>IF(E50=0,IF(D50=0,0,1000000),C50+D50*E50)</f>
        <v>7869.5300000000007</v>
      </c>
      <c r="G50" s="85" t="s">
        <v>110</v>
      </c>
      <c r="H50" s="85" t="str">
        <f>IF($B$7&lt;F50,($B$7-C50)/D50,"")</f>
        <v/>
      </c>
    </row>
    <row r="51" spans="1:8" x14ac:dyDescent="0.2">
      <c r="B51" s="85" t="str">
        <f>初期設定!C55</f>
        <v>範囲3：300kWh以上</v>
      </c>
      <c r="C51" s="85">
        <f>F50-E50*D51</f>
        <v>-2222.4699999999993</v>
      </c>
      <c r="D51" s="85">
        <f>初期設定!E55+初期設定!E56</f>
        <v>33.64</v>
      </c>
      <c r="E51" s="85">
        <f>初期設定!F55</f>
        <v>0</v>
      </c>
      <c r="F51" s="86">
        <f>IF(E51=0,IF(D51=0,0,1000000),C51+D51*E51)</f>
        <v>1000000</v>
      </c>
      <c r="G51" s="85" t="s">
        <v>110</v>
      </c>
      <c r="H51" s="85">
        <f>IF($B$7&lt;F51,($B$7-C51)/D51,"")</f>
        <v>422.78448275862064</v>
      </c>
    </row>
    <row r="52" spans="1:8" x14ac:dyDescent="0.2">
      <c r="H52" s="106">
        <f>IF(H49&lt;&gt;"",H49,IF(H50&lt;&gt;"",H50,IF(H51&lt;&gt;"",H51,B7/B23)))</f>
        <v>422.78448275862064</v>
      </c>
    </row>
    <row r="54" spans="1:8" x14ac:dyDescent="0.2">
      <c r="A54" s="85" t="s">
        <v>122</v>
      </c>
    </row>
    <row r="55" spans="1:8" x14ac:dyDescent="0.2">
      <c r="C55" s="85" t="s">
        <v>61</v>
      </c>
      <c r="D55" s="85" t="s">
        <v>62</v>
      </c>
      <c r="E55" s="85" t="s">
        <v>127</v>
      </c>
      <c r="F55" s="85" t="s">
        <v>129</v>
      </c>
    </row>
    <row r="56" spans="1:8" x14ac:dyDescent="0.2">
      <c r="B56" s="85" t="str">
        <f>初期設定!C57</f>
        <v>範囲1：20m3未満　　　大阪ガス2017年6月</v>
      </c>
      <c r="C56" s="85">
        <f>初期設定!D57</f>
        <v>745.2</v>
      </c>
      <c r="D56" s="85">
        <f>初期設定!E57</f>
        <v>156.93</v>
      </c>
      <c r="E56" s="85">
        <f>初期設定!F57</f>
        <v>20</v>
      </c>
      <c r="F56" s="86">
        <f>IF(E56=0,IF(D56=0,0,1000000),C56+D56*E56)</f>
        <v>3883.8</v>
      </c>
      <c r="G56" s="85" t="s">
        <v>60</v>
      </c>
      <c r="H56" s="85" t="str">
        <f>IF($C$7&lt;F56,($C$7-C56)/D56,"")</f>
        <v/>
      </c>
    </row>
    <row r="57" spans="1:8" x14ac:dyDescent="0.2">
      <c r="B57" s="85" t="str">
        <f>初期設定!C58</f>
        <v>範囲2：20～50m3</v>
      </c>
      <c r="C57" s="85">
        <f>初期設定!D58</f>
        <v>1337.4</v>
      </c>
      <c r="D57" s="85">
        <f>初期設定!E58</f>
        <v>127.32</v>
      </c>
      <c r="E57" s="85">
        <f>初期設定!F58</f>
        <v>50</v>
      </c>
      <c r="F57" s="86">
        <f>IF(E57=0,IF(D57=0,0,1000000),C57+D57*E57)</f>
        <v>7703.4</v>
      </c>
      <c r="G57" s="85" t="s">
        <v>110</v>
      </c>
      <c r="H57" s="85" t="str">
        <f>IF($C$7&lt;F57,($C$7-C57)/D57,"")</f>
        <v/>
      </c>
    </row>
    <row r="58" spans="1:8" x14ac:dyDescent="0.2">
      <c r="B58" s="85" t="str">
        <f>初期設定!C59</f>
        <v>範囲3：50m3以上</v>
      </c>
      <c r="C58" s="85">
        <f>初期設定!D59</f>
        <v>1595.9</v>
      </c>
      <c r="D58" s="85">
        <f>初期設定!E59</f>
        <v>146.91</v>
      </c>
      <c r="E58" s="85">
        <f>初期設定!F59</f>
        <v>0</v>
      </c>
      <c r="F58" s="86">
        <f>IF(E58=0,IF(D58=0,0,1000000),C58+D58*E58)</f>
        <v>1000000</v>
      </c>
      <c r="G58" s="85" t="s">
        <v>110</v>
      </c>
      <c r="H58" s="85">
        <f>IF($C$7&lt;F58,($C$7-C58)/D58,"")</f>
        <v>57.205772241508413</v>
      </c>
    </row>
    <row r="59" spans="1:8" x14ac:dyDescent="0.2">
      <c r="H59" s="106">
        <f>IF(C7=0,0,IF(H56&lt;&gt;"",H56,IF(H57&lt;&gt;"",H57,IF(H58&lt;&gt;"",H58,C7/D57))))</f>
        <v>57.205772241508413</v>
      </c>
    </row>
    <row r="60" spans="1:8" x14ac:dyDescent="0.2">
      <c r="A60" s="85" t="s">
        <v>123</v>
      </c>
    </row>
    <row r="61" spans="1:8" x14ac:dyDescent="0.2">
      <c r="C61" s="85" t="s">
        <v>61</v>
      </c>
      <c r="D61" s="85" t="s">
        <v>62</v>
      </c>
      <c r="E61" s="85" t="s">
        <v>128</v>
      </c>
      <c r="F61" s="85" t="s">
        <v>129</v>
      </c>
    </row>
    <row r="62" spans="1:8" x14ac:dyDescent="0.2">
      <c r="B62" s="85" t="str">
        <f>初期設定!C60</f>
        <v>範囲1：</v>
      </c>
      <c r="C62" s="85">
        <f>初期設定!D60</f>
        <v>0</v>
      </c>
      <c r="D62" s="85">
        <f>初期設定!E60</f>
        <v>756.6</v>
      </c>
      <c r="E62" s="85">
        <f>初期設定!F60</f>
        <v>0</v>
      </c>
      <c r="F62" s="86">
        <f>IF(E62=0,IF(D62=0,0,1000000),C62+D62*E62)</f>
        <v>1000000</v>
      </c>
      <c r="G62" s="85" t="s">
        <v>60</v>
      </c>
      <c r="H62" s="85" t="str">
        <f>IF($D$7&lt;F62,($D$7-C62)/D62,"")</f>
        <v/>
      </c>
    </row>
    <row r="63" spans="1:8" x14ac:dyDescent="0.2">
      <c r="B63" s="85" t="str">
        <f>初期設定!C61</f>
        <v>範囲2</v>
      </c>
      <c r="C63" s="85">
        <f>初期設定!D61</f>
        <v>0</v>
      </c>
      <c r="D63" s="85">
        <f>初期設定!E61</f>
        <v>0</v>
      </c>
      <c r="E63" s="85">
        <f>初期設定!F61</f>
        <v>0</v>
      </c>
      <c r="F63" s="86">
        <f>IF(E63=0,IF(D63=0,0,1000000),C63+D63*E63)</f>
        <v>0</v>
      </c>
      <c r="G63" s="85" t="s">
        <v>60</v>
      </c>
      <c r="H63" s="85" t="str">
        <f>IF($D$7&lt;F63,($D$7-C63)/D63,"")</f>
        <v/>
      </c>
    </row>
    <row r="64" spans="1:8" x14ac:dyDescent="0.2">
      <c r="C64" s="93"/>
      <c r="F64" s="92"/>
      <c r="H64" s="106" t="e">
        <f>IF(H62&lt;&gt;"",H62,IF(H63&lt;&gt;"",H63,D7/C23))</f>
        <v>#VALUE!</v>
      </c>
    </row>
    <row r="66" spans="1:60" x14ac:dyDescent="0.2">
      <c r="A66" s="85" t="s">
        <v>63</v>
      </c>
    </row>
    <row r="67" spans="1:60" x14ac:dyDescent="0.2">
      <c r="B67" s="85" t="s">
        <v>64</v>
      </c>
      <c r="C67" s="85" t="str">
        <f>C25</f>
        <v>都市ガス</v>
      </c>
      <c r="D67" s="85" t="s">
        <v>65</v>
      </c>
      <c r="E67" s="85" t="s">
        <v>40</v>
      </c>
      <c r="F67" s="85" t="s">
        <v>66</v>
      </c>
    </row>
    <row r="68" spans="1:60" x14ac:dyDescent="0.2">
      <c r="A68" s="85" t="s">
        <v>263</v>
      </c>
      <c r="B68" s="94">
        <f>IFERROR(IF(AD6=1,H52*(355*0.7/(355*0.7+(360+355*0.3)/3))+H52*((360+355*0.3)/3/(355*0.7+(360+355*0.3)/3))*3,H52)*初期設定!D67,B69)</f>
        <v>232.53146551724137</v>
      </c>
      <c r="C68" s="94">
        <f>IFERROR(IF(C67="都市ガス",H59*初期設定!D68,診断計算!H64*初期設定!D69),C69)</f>
        <v>127.56887209856376</v>
      </c>
      <c r="D68" s="94">
        <f>IF(SUM(B7:F7)=0,D69,D26/初期設定!E62*初期設定!D70)</f>
        <v>0</v>
      </c>
      <c r="E68" s="94">
        <f>IF(SUM(B7:F7)=0,E69,E26/初期設定!E63*初期設定!D71)</f>
        <v>138.62686567164181</v>
      </c>
      <c r="F68" s="94">
        <f>SUM(B68:E68)</f>
        <v>498.72720328744697</v>
      </c>
      <c r="G68" s="85" t="s">
        <v>42</v>
      </c>
      <c r="H68" s="85" t="s">
        <v>245</v>
      </c>
    </row>
    <row r="69" spans="1:60" x14ac:dyDescent="0.2">
      <c r="A69" s="85" t="s">
        <v>264</v>
      </c>
      <c r="B69" s="157">
        <f>IF(AD6=1,B100*初期設定!D67+B93*初期設定!D69,IF(B27&gt;F50,(B27-C49)/D49,(B27-C50)/D50)*初期設定!D67)</f>
        <v>330.57135706891546</v>
      </c>
      <c r="C69" s="94">
        <f>IF(C27&gt;F$57,(C27-C$58)/D$58,IF(C27&gt;F$56,(C27-C$57)/D$57,IF(C27=0,0,(C27-C$56)/D$56)))*初期設定!D68</f>
        <v>129.88112520093847</v>
      </c>
      <c r="D69" s="94">
        <f>D27/初期設定!E62*初期設定!D70</f>
        <v>20.582188418431475</v>
      </c>
      <c r="E69" s="94">
        <f>E27/初期設定!E63*初期設定!D71</f>
        <v>63.473020408933642</v>
      </c>
      <c r="F69" s="94">
        <f>SUM(B69:E69)</f>
        <v>544.50769109721909</v>
      </c>
      <c r="G69" s="85" t="s">
        <v>42</v>
      </c>
      <c r="H69" s="85" t="s">
        <v>272</v>
      </c>
    </row>
    <row r="70" spans="1:60" x14ac:dyDescent="0.2">
      <c r="B70" s="90">
        <f>B68/$F68</f>
        <v>0.46624981349417044</v>
      </c>
      <c r="C70" s="90">
        <f>C68/$F68</f>
        <v>0.25578887868492312</v>
      </c>
      <c r="D70" s="90">
        <f>D68/$F68</f>
        <v>0</v>
      </c>
      <c r="E70" s="90">
        <f>E68/$F68</f>
        <v>0.27796130782090639</v>
      </c>
      <c r="F70" s="95">
        <f>MAX(B70:E70)</f>
        <v>0.46624981349417044</v>
      </c>
    </row>
    <row r="71" spans="1:60" x14ac:dyDescent="0.2">
      <c r="A71" s="85" t="s">
        <v>120</v>
      </c>
      <c r="B71" s="85" t="str">
        <f>IF(B70=$F70,B67,"")</f>
        <v>電気</v>
      </c>
      <c r="C71" s="85" t="str">
        <f>IF(C70=$F70,C67,"")</f>
        <v/>
      </c>
      <c r="D71" s="85" t="str">
        <f>IF(D70=$F70,D67,"")</f>
        <v/>
      </c>
      <c r="E71" s="85" t="str">
        <f>IF(E70=$F70,E67,"")</f>
        <v/>
      </c>
      <c r="F71" s="85" t="str">
        <f>B71&amp;C71&amp;D71&amp;E71</f>
        <v>電気</v>
      </c>
    </row>
    <row r="73" spans="1:60" x14ac:dyDescent="0.2">
      <c r="A73" s="85" t="s">
        <v>105</v>
      </c>
      <c r="H73" s="85" t="s">
        <v>105</v>
      </c>
    </row>
    <row r="74" spans="1:60" x14ac:dyDescent="0.2">
      <c r="B74" s="85" t="s">
        <v>49</v>
      </c>
      <c r="C74" s="85" t="s">
        <v>39</v>
      </c>
      <c r="D74" s="85" t="s">
        <v>50</v>
      </c>
      <c r="E74" s="85" t="s">
        <v>40</v>
      </c>
      <c r="G74" s="104" t="str">
        <f>初期設定!C75</f>
        <v>京都市</v>
      </c>
      <c r="I74" s="85" t="s">
        <v>284</v>
      </c>
      <c r="J74" s="107" t="s">
        <v>136</v>
      </c>
      <c r="K74" s="107" t="s">
        <v>137</v>
      </c>
      <c r="L74" s="107" t="s">
        <v>138</v>
      </c>
      <c r="M74" s="107" t="s">
        <v>139</v>
      </c>
      <c r="N74" s="107" t="s">
        <v>140</v>
      </c>
      <c r="O74" s="107" t="s">
        <v>141</v>
      </c>
      <c r="P74" s="107" t="s">
        <v>142</v>
      </c>
      <c r="Q74" s="107" t="s">
        <v>143</v>
      </c>
      <c r="R74" s="107" t="s">
        <v>144</v>
      </c>
      <c r="S74" s="107" t="s">
        <v>145</v>
      </c>
      <c r="T74" s="107" t="s">
        <v>146</v>
      </c>
      <c r="U74" s="107" t="s">
        <v>147</v>
      </c>
      <c r="V74" s="107" t="s">
        <v>148</v>
      </c>
      <c r="W74" s="107" t="s">
        <v>149</v>
      </c>
      <c r="X74" s="107" t="s">
        <v>150</v>
      </c>
      <c r="Y74" s="107" t="s">
        <v>151</v>
      </c>
      <c r="Z74" s="107"/>
      <c r="AA74" s="107"/>
      <c r="AB74" s="107" t="s">
        <v>152</v>
      </c>
      <c r="AC74" s="107" t="s">
        <v>153</v>
      </c>
      <c r="AD74" s="107" t="s">
        <v>154</v>
      </c>
      <c r="AE74" s="107" t="s">
        <v>155</v>
      </c>
      <c r="AF74" s="107" t="s">
        <v>156</v>
      </c>
      <c r="AG74" s="107" t="s">
        <v>157</v>
      </c>
      <c r="AH74" s="107" t="s">
        <v>158</v>
      </c>
      <c r="AI74" s="107" t="s">
        <v>159</v>
      </c>
      <c r="AJ74" s="107" t="s">
        <v>160</v>
      </c>
      <c r="AK74" s="107" t="s">
        <v>161</v>
      </c>
      <c r="AL74" s="107" t="s">
        <v>162</v>
      </c>
      <c r="AM74" s="107" t="s">
        <v>163</v>
      </c>
      <c r="AN74" s="107" t="s">
        <v>164</v>
      </c>
      <c r="AO74" s="107" t="s">
        <v>165</v>
      </c>
      <c r="AP74" s="107" t="s">
        <v>166</v>
      </c>
      <c r="AQ74" s="107" t="s">
        <v>167</v>
      </c>
      <c r="AR74" s="107" t="s">
        <v>168</v>
      </c>
      <c r="AS74" s="107" t="s">
        <v>169</v>
      </c>
      <c r="AT74" s="107" t="s">
        <v>170</v>
      </c>
      <c r="AU74" s="107" t="s">
        <v>171</v>
      </c>
      <c r="AV74" s="107" t="s">
        <v>172</v>
      </c>
      <c r="AW74" s="107" t="s">
        <v>173</v>
      </c>
      <c r="AX74" s="107" t="s">
        <v>174</v>
      </c>
      <c r="AY74" s="107" t="s">
        <v>175</v>
      </c>
      <c r="AZ74" s="107" t="s">
        <v>176</v>
      </c>
      <c r="BA74" s="107" t="s">
        <v>177</v>
      </c>
      <c r="BB74" s="107" t="s">
        <v>178</v>
      </c>
      <c r="BC74" s="107" t="s">
        <v>179</v>
      </c>
      <c r="BD74" s="107" t="s">
        <v>180</v>
      </c>
      <c r="BE74" s="107" t="s">
        <v>181</v>
      </c>
      <c r="BF74" s="107" t="s">
        <v>182</v>
      </c>
      <c r="BG74" s="107" t="s">
        <v>183</v>
      </c>
      <c r="BH74" s="107" t="s">
        <v>184</v>
      </c>
    </row>
    <row r="75" spans="1:60" x14ac:dyDescent="0.2">
      <c r="A75" s="85">
        <v>1</v>
      </c>
      <c r="B75" s="86">
        <v>4328.5824999999995</v>
      </c>
      <c r="C75" s="86">
        <v>2978.2752380952384</v>
      </c>
      <c r="D75" s="86">
        <v>536.4735714285714</v>
      </c>
      <c r="E75" s="86">
        <v>2291.0678571428575</v>
      </c>
      <c r="F75" s="86"/>
      <c r="G75" s="109">
        <f>HLOOKUP(G$74,$I$74:$BH$79,2,FALSE)/I75</f>
        <v>0.9766171720187844</v>
      </c>
      <c r="H75" s="85" t="s">
        <v>185</v>
      </c>
      <c r="I75" s="85">
        <v>9209.75</v>
      </c>
      <c r="J75" s="108">
        <v>7568.0333333333328</v>
      </c>
      <c r="K75" s="108">
        <v>8892.0166666666682</v>
      </c>
      <c r="L75" s="108">
        <v>8455.4833333333336</v>
      </c>
      <c r="M75" s="108">
        <v>7822.0666666666648</v>
      </c>
      <c r="N75" s="108">
        <v>8133.75</v>
      </c>
      <c r="O75" s="108">
        <v>9018.7000000000007</v>
      </c>
      <c r="P75" s="108">
        <v>8979.2833333333328</v>
      </c>
      <c r="Q75" s="108">
        <v>8643.75</v>
      </c>
      <c r="R75" s="108">
        <v>8438.3166666666675</v>
      </c>
      <c r="S75" s="108">
        <v>7785.166666666667</v>
      </c>
      <c r="T75" s="108">
        <v>9217.2333333333336</v>
      </c>
      <c r="U75" s="108">
        <v>8296.0499999999993</v>
      </c>
      <c r="V75" s="108">
        <v>8982.0833333333321</v>
      </c>
      <c r="W75" s="108">
        <v>8718.9333333333325</v>
      </c>
      <c r="X75" s="108">
        <v>8638.7833333333347</v>
      </c>
      <c r="Y75" s="108">
        <v>8684.8833333333332</v>
      </c>
      <c r="Z75" s="108"/>
      <c r="AA75" s="108"/>
      <c r="AB75" s="108">
        <v>10823.633333333335</v>
      </c>
      <c r="AC75" s="108">
        <v>10442.683333333332</v>
      </c>
      <c r="AD75" s="108">
        <v>11658.533333333335</v>
      </c>
      <c r="AE75" s="108">
        <v>8615.0833333333339</v>
      </c>
      <c r="AF75" s="108">
        <v>8552</v>
      </c>
      <c r="AG75" s="108">
        <v>10186.216666666667</v>
      </c>
      <c r="AH75" s="108">
        <v>8980.0499999999993</v>
      </c>
      <c r="AI75" s="108">
        <v>8782.9166666666661</v>
      </c>
      <c r="AJ75" s="108">
        <v>9408.5499999999993</v>
      </c>
      <c r="AK75" s="108">
        <v>9112.8166666666657</v>
      </c>
      <c r="AL75" s="108">
        <v>8994.4</v>
      </c>
      <c r="AM75" s="108">
        <v>9246.1</v>
      </c>
      <c r="AN75" s="108">
        <v>7958.75</v>
      </c>
      <c r="AO75" s="108">
        <v>9095.85</v>
      </c>
      <c r="AP75" s="108">
        <v>10169.299999999999</v>
      </c>
      <c r="AQ75" s="108">
        <v>8691.1666666666679</v>
      </c>
      <c r="AR75" s="108">
        <v>9122.2666666666664</v>
      </c>
      <c r="AS75" s="108">
        <v>9466.2999999999993</v>
      </c>
      <c r="AT75" s="108">
        <v>9201.35</v>
      </c>
      <c r="AU75" s="108">
        <v>8724.3166666666675</v>
      </c>
      <c r="AV75" s="108">
        <v>11442.666666666666</v>
      </c>
      <c r="AW75" s="108">
        <v>9764.8833333333332</v>
      </c>
      <c r="AX75" s="108">
        <v>9356.4666666666672</v>
      </c>
      <c r="AY75" s="108">
        <v>8897.6833333333325</v>
      </c>
      <c r="AZ75" s="108">
        <v>8273.35</v>
      </c>
      <c r="BA75" s="108">
        <v>8571.85</v>
      </c>
      <c r="BB75" s="108">
        <v>8875.25</v>
      </c>
      <c r="BC75" s="108">
        <v>7805.35</v>
      </c>
      <c r="BD75" s="108">
        <v>8745.4833333333336</v>
      </c>
      <c r="BE75" s="108">
        <v>8259.5833333333339</v>
      </c>
      <c r="BF75" s="108">
        <v>8187.7166666666672</v>
      </c>
      <c r="BG75" s="108">
        <v>7790.3833333333323</v>
      </c>
      <c r="BH75" s="108">
        <v>8959.9666666666653</v>
      </c>
    </row>
    <row r="76" spans="1:60" x14ac:dyDescent="0.2">
      <c r="A76" s="85">
        <v>2</v>
      </c>
      <c r="B76" s="86">
        <v>7920.3850000000002</v>
      </c>
      <c r="C76" s="86">
        <v>4753.7854761904764</v>
      </c>
      <c r="D76" s="86">
        <v>1304.9357142857143</v>
      </c>
      <c r="E76" s="86">
        <v>4022.0969047619055</v>
      </c>
      <c r="F76" s="86"/>
      <c r="G76" s="109">
        <f>HLOOKUP(G$74,$I$74:$BH$79,3,FALSE)/I76</f>
        <v>1.0712296250722293</v>
      </c>
      <c r="H76" s="85" t="s">
        <v>111</v>
      </c>
      <c r="I76" s="85">
        <v>5727.4523809523816</v>
      </c>
      <c r="J76" s="108">
        <v>5400.3</v>
      </c>
      <c r="K76" s="108">
        <v>4251.0166666666673</v>
      </c>
      <c r="L76" s="108">
        <v>5535.9666666666672</v>
      </c>
      <c r="M76" s="108">
        <v>6912.6166666666659</v>
      </c>
      <c r="N76" s="108">
        <v>4815.7833333333328</v>
      </c>
      <c r="O76" s="108">
        <v>6170.0666666666666</v>
      </c>
      <c r="P76" s="108">
        <v>6079.6166666666677</v>
      </c>
      <c r="Q76" s="108">
        <v>6398.0166666666673</v>
      </c>
      <c r="R76" s="108">
        <v>5841.6333333333341</v>
      </c>
      <c r="S76" s="108">
        <v>5317.9666666666662</v>
      </c>
      <c r="T76" s="108">
        <v>6500.7333333333336</v>
      </c>
      <c r="U76" s="108">
        <v>5734.583333333333</v>
      </c>
      <c r="V76" s="108">
        <v>6122.6333333333341</v>
      </c>
      <c r="W76" s="108">
        <v>6441.45</v>
      </c>
      <c r="X76" s="108">
        <v>6493.9166666666652</v>
      </c>
      <c r="Y76" s="108">
        <v>6683.25</v>
      </c>
      <c r="Z76" s="108"/>
      <c r="AA76" s="108"/>
      <c r="AB76" s="108">
        <v>5846.2833333333328</v>
      </c>
      <c r="AC76" s="108">
        <v>6423.3</v>
      </c>
      <c r="AD76" s="108">
        <v>6434.2333333333336</v>
      </c>
      <c r="AE76" s="108">
        <v>5109.55</v>
      </c>
      <c r="AF76" s="108">
        <v>5710.4</v>
      </c>
      <c r="AG76" s="108">
        <v>6953.1333333333341</v>
      </c>
      <c r="AH76" s="108">
        <v>7391.8</v>
      </c>
      <c r="AI76" s="108">
        <v>6160.35</v>
      </c>
      <c r="AJ76" s="108">
        <v>6204.1833333333334</v>
      </c>
      <c r="AK76" s="108">
        <v>5570.8833333333323</v>
      </c>
      <c r="AL76" s="108">
        <v>6135.416666666667</v>
      </c>
      <c r="AM76" s="108">
        <v>6025.8833333333341</v>
      </c>
      <c r="AN76" s="108">
        <v>5660.5166666666673</v>
      </c>
      <c r="AO76" s="108">
        <v>6516.9</v>
      </c>
      <c r="AP76" s="108">
        <v>4861.75</v>
      </c>
      <c r="AQ76" s="108">
        <v>5381.8166666666666</v>
      </c>
      <c r="AR76" s="108">
        <v>6504.45</v>
      </c>
      <c r="AS76" s="108">
        <v>6274.6</v>
      </c>
      <c r="AT76" s="108">
        <v>6302.9166666666652</v>
      </c>
      <c r="AU76" s="108">
        <v>5867.1833333333334</v>
      </c>
      <c r="AV76" s="108">
        <v>5314.9333333333334</v>
      </c>
      <c r="AW76" s="108">
        <v>5072.4666666666662</v>
      </c>
      <c r="AX76" s="108">
        <v>5474.2833333333338</v>
      </c>
      <c r="AY76" s="108">
        <v>5946.9</v>
      </c>
      <c r="AZ76" s="108">
        <v>6034.4333333333343</v>
      </c>
      <c r="BA76" s="108">
        <v>6425.8333333333321</v>
      </c>
      <c r="BB76" s="108">
        <v>5992.8</v>
      </c>
      <c r="BC76" s="108">
        <v>6368.1833333333334</v>
      </c>
      <c r="BD76" s="108">
        <v>5734.583333333333</v>
      </c>
      <c r="BE76" s="108">
        <v>5606.4666666666662</v>
      </c>
      <c r="BF76" s="108">
        <v>5252.1166666666668</v>
      </c>
      <c r="BG76" s="108">
        <v>6000.95</v>
      </c>
      <c r="BH76" s="108">
        <v>4910.9333333333343</v>
      </c>
    </row>
    <row r="77" spans="1:60" x14ac:dyDescent="0.2">
      <c r="A77" s="85">
        <v>3</v>
      </c>
      <c r="B77" s="86">
        <v>9117.6525000000001</v>
      </c>
      <c r="C77" s="86">
        <v>5727.4523809523816</v>
      </c>
      <c r="D77" s="86">
        <v>1304.9357142857143</v>
      </c>
      <c r="E77" s="86">
        <v>4989.4366666666674</v>
      </c>
      <c r="F77" s="86"/>
      <c r="G77" s="109">
        <f>HLOOKUP(G$74,$I$74:$BH$79,4,FALSE)/I77</f>
        <v>1.0829353112956321</v>
      </c>
      <c r="H77" s="85" t="s">
        <v>186</v>
      </c>
      <c r="I77" s="85">
        <v>4997.9285714285706</v>
      </c>
      <c r="J77" s="108">
        <v>4694.1166666666659</v>
      </c>
      <c r="K77" s="108">
        <v>6506.5166666666664</v>
      </c>
      <c r="L77" s="108">
        <v>5370.6</v>
      </c>
      <c r="M77" s="108">
        <v>5764.4166666666679</v>
      </c>
      <c r="N77" s="108">
        <v>5591.1333333333323</v>
      </c>
      <c r="O77" s="108">
        <v>7452.2166666666672</v>
      </c>
      <c r="P77" s="108">
        <v>6194.5</v>
      </c>
      <c r="Q77" s="108">
        <v>4224.166666666667</v>
      </c>
      <c r="R77" s="108">
        <v>6451.2166666666662</v>
      </c>
      <c r="S77" s="108">
        <v>5059.6499999999996</v>
      </c>
      <c r="T77" s="108">
        <v>5373.15</v>
      </c>
      <c r="U77" s="108">
        <v>4906.3666666666677</v>
      </c>
      <c r="V77" s="108">
        <v>5680.7</v>
      </c>
      <c r="W77" s="108">
        <v>5752.6833333333334</v>
      </c>
      <c r="X77" s="108">
        <v>5439.7166666666662</v>
      </c>
      <c r="Y77" s="108">
        <v>6110.3666666666677</v>
      </c>
      <c r="Z77" s="108"/>
      <c r="AA77" s="108"/>
      <c r="AB77" s="108">
        <v>6101.75</v>
      </c>
      <c r="AC77" s="108">
        <v>6176.1666666666679</v>
      </c>
      <c r="AD77" s="108">
        <v>5719.85</v>
      </c>
      <c r="AE77" s="108">
        <v>5906.9666666666672</v>
      </c>
      <c r="AF77" s="108">
        <v>5405.9333333333334</v>
      </c>
      <c r="AG77" s="108">
        <v>4824.3999999999996</v>
      </c>
      <c r="AH77" s="108">
        <v>4983.1166666666668</v>
      </c>
      <c r="AI77" s="108">
        <v>5073.7</v>
      </c>
      <c r="AJ77" s="108">
        <v>4081.3333333333339</v>
      </c>
      <c r="AK77" s="108">
        <v>5571.55</v>
      </c>
      <c r="AL77" s="108">
        <v>5412.4333333333334</v>
      </c>
      <c r="AM77" s="108">
        <v>3863.4666666666658</v>
      </c>
      <c r="AN77" s="108">
        <v>4509.75</v>
      </c>
      <c r="AO77" s="108">
        <v>5546.0166666666664</v>
      </c>
      <c r="AP77" s="108">
        <v>3968.1833333333329</v>
      </c>
      <c r="AQ77" s="108">
        <v>4132.1000000000004</v>
      </c>
      <c r="AR77" s="108">
        <v>5797.3166666666657</v>
      </c>
      <c r="AS77" s="108">
        <v>4390.166666666667</v>
      </c>
      <c r="AT77" s="108">
        <v>5057.5166666666664</v>
      </c>
      <c r="AU77" s="108">
        <v>4559.3833333333332</v>
      </c>
      <c r="AV77" s="108">
        <v>3303.7166666666672</v>
      </c>
      <c r="AW77" s="108">
        <v>4262.95</v>
      </c>
      <c r="AX77" s="108">
        <v>3992.9166666666674</v>
      </c>
      <c r="AY77" s="108">
        <v>4145.333333333333</v>
      </c>
      <c r="AZ77" s="108">
        <v>4795.5</v>
      </c>
      <c r="BA77" s="108">
        <v>5374.75</v>
      </c>
      <c r="BB77" s="108">
        <v>5094.6166666666659</v>
      </c>
      <c r="BC77" s="108">
        <v>6291.833333333333</v>
      </c>
      <c r="BD77" s="108">
        <v>5375.6166666666659</v>
      </c>
      <c r="BE77" s="108">
        <v>4778.5666666666666</v>
      </c>
      <c r="BF77" s="108">
        <v>4470.2166666666672</v>
      </c>
      <c r="BG77" s="108">
        <v>4653.6333333333332</v>
      </c>
      <c r="BH77" s="108">
        <v>5818.8833333333341</v>
      </c>
    </row>
    <row r="78" spans="1:60" x14ac:dyDescent="0.2">
      <c r="A78" s="85">
        <v>4</v>
      </c>
      <c r="B78" s="86">
        <v>9854.4325000000008</v>
      </c>
      <c r="C78" s="86">
        <v>6300.1976190476207</v>
      </c>
      <c r="D78" s="86">
        <v>1232.4392857142857</v>
      </c>
      <c r="E78" s="86">
        <v>5905.8638095238102</v>
      </c>
      <c r="F78" s="86"/>
      <c r="G78" s="109">
        <f>HLOOKUP(G$74,$I$74:$BH$79,5,FALSE)/I78</f>
        <v>0.28507151419610161</v>
      </c>
      <c r="H78" s="85" t="s">
        <v>187</v>
      </c>
      <c r="I78" s="85">
        <v>1449.9285714285713</v>
      </c>
      <c r="J78" s="108">
        <v>3771.5</v>
      </c>
      <c r="K78" s="108">
        <v>4886.2833333333328</v>
      </c>
      <c r="L78" s="108">
        <v>3470.6</v>
      </c>
      <c r="M78" s="108">
        <v>1491.55</v>
      </c>
      <c r="N78" s="108">
        <v>4283.55</v>
      </c>
      <c r="O78" s="108">
        <v>3119.1</v>
      </c>
      <c r="P78" s="108">
        <v>2085.6333333333337</v>
      </c>
      <c r="Q78" s="108">
        <v>1160.45</v>
      </c>
      <c r="R78" s="108">
        <v>1100.0333333333335</v>
      </c>
      <c r="S78" s="108">
        <v>968.36666666666645</v>
      </c>
      <c r="T78" s="108">
        <v>374.13333333333338</v>
      </c>
      <c r="U78" s="108">
        <v>441.73333333333341</v>
      </c>
      <c r="V78" s="108">
        <v>231.66666666666666</v>
      </c>
      <c r="W78" s="108">
        <v>427.7166666666667</v>
      </c>
      <c r="X78" s="108">
        <v>310.89999999999998</v>
      </c>
      <c r="Y78" s="108">
        <v>1370.2</v>
      </c>
      <c r="Z78" s="108"/>
      <c r="AA78" s="108"/>
      <c r="AB78" s="108">
        <v>2678.9833333333331</v>
      </c>
      <c r="AC78" s="108">
        <v>1917.7333333333336</v>
      </c>
      <c r="AD78" s="108">
        <v>1673.6666666666667</v>
      </c>
      <c r="AE78" s="108">
        <v>1392.5666666666666</v>
      </c>
      <c r="AF78" s="108">
        <v>1992.1</v>
      </c>
      <c r="AG78" s="108">
        <v>915.2</v>
      </c>
      <c r="AH78" s="108">
        <v>585.66666666666663</v>
      </c>
      <c r="AI78" s="108">
        <v>454.7</v>
      </c>
      <c r="AJ78" s="108">
        <v>885.08333333333337</v>
      </c>
      <c r="AK78" s="108">
        <v>711.66666666666652</v>
      </c>
      <c r="AL78" s="108">
        <v>413.33333333333331</v>
      </c>
      <c r="AM78" s="108">
        <v>195.55</v>
      </c>
      <c r="AN78" s="108">
        <v>312.55</v>
      </c>
      <c r="AO78" s="108">
        <v>592.65</v>
      </c>
      <c r="AP78" s="108">
        <v>842.4</v>
      </c>
      <c r="AQ78" s="108">
        <v>1327.2166666666665</v>
      </c>
      <c r="AR78" s="108">
        <v>979.33333333333337</v>
      </c>
      <c r="AS78" s="108">
        <v>933.78333333333319</v>
      </c>
      <c r="AT78" s="108">
        <v>764.9666666666667</v>
      </c>
      <c r="AU78" s="108">
        <v>1074.25</v>
      </c>
      <c r="AV78" s="108">
        <v>956.16666666666663</v>
      </c>
      <c r="AW78" s="108">
        <v>778</v>
      </c>
      <c r="AX78" s="108">
        <v>758.93333333333328</v>
      </c>
      <c r="AY78" s="108">
        <v>548.73333333333323</v>
      </c>
      <c r="AZ78" s="108">
        <v>900.7</v>
      </c>
      <c r="BA78" s="108">
        <v>542.01666666666665</v>
      </c>
      <c r="BB78" s="108">
        <v>958.1</v>
      </c>
      <c r="BC78" s="108">
        <v>626.75</v>
      </c>
      <c r="BD78" s="108">
        <v>688.33333333333337</v>
      </c>
      <c r="BE78" s="108">
        <v>735.11666666666667</v>
      </c>
      <c r="BF78" s="108">
        <v>603.58333333333337</v>
      </c>
      <c r="BG78" s="108">
        <v>468.98333333333341</v>
      </c>
      <c r="BH78" s="108">
        <v>365.98333333333329</v>
      </c>
    </row>
    <row r="79" spans="1:60" x14ac:dyDescent="0.2">
      <c r="A79" s="85">
        <v>5</v>
      </c>
      <c r="B79" s="86">
        <v>11420.09</v>
      </c>
      <c r="C79" s="86">
        <v>6701.119285714286</v>
      </c>
      <c r="D79" s="86">
        <v>1594.9214285714286</v>
      </c>
      <c r="E79" s="86">
        <v>6414.99</v>
      </c>
      <c r="F79" s="86"/>
      <c r="G79" s="109">
        <f>HLOOKUP(G$74,$I$74:$BH$79,6,FALSE)/I79</f>
        <v>0.48379732470354592</v>
      </c>
      <c r="H79" s="85" t="s">
        <v>188</v>
      </c>
      <c r="I79" s="85">
        <v>5091.2619047619055</v>
      </c>
      <c r="J79" s="108">
        <v>3983.6736111111113</v>
      </c>
      <c r="K79" s="108">
        <v>3806.4097222222226</v>
      </c>
      <c r="L79" s="108">
        <v>4168.4513888888887</v>
      </c>
      <c r="M79" s="108">
        <v>4148.6736111111104</v>
      </c>
      <c r="N79" s="108">
        <v>5572.7847222222226</v>
      </c>
      <c r="O79" s="108">
        <v>5077.6319444444443</v>
      </c>
      <c r="P79" s="108">
        <v>5063.166666666667</v>
      </c>
      <c r="Q79" s="108">
        <v>6005.2152777777783</v>
      </c>
      <c r="R79" s="108">
        <v>5611.5486111111122</v>
      </c>
      <c r="S79" s="108">
        <v>5777.3611111111122</v>
      </c>
      <c r="T79" s="108">
        <v>2922.4930555555552</v>
      </c>
      <c r="U79" s="108">
        <v>3230.1458333333335</v>
      </c>
      <c r="V79" s="108">
        <v>1461.5555555555554</v>
      </c>
      <c r="W79" s="108">
        <v>2792.9305555555561</v>
      </c>
      <c r="X79" s="108">
        <v>2243.4305555555557</v>
      </c>
      <c r="Y79" s="108">
        <v>5119.9722222222226</v>
      </c>
      <c r="Z79" s="108"/>
      <c r="AA79" s="108"/>
      <c r="AB79" s="108">
        <v>6368.958333333333</v>
      </c>
      <c r="AC79" s="108">
        <v>5602.2847222222226</v>
      </c>
      <c r="AD79" s="108">
        <v>5283.5347222222226</v>
      </c>
      <c r="AE79" s="108">
        <v>4718.9652777777783</v>
      </c>
      <c r="AF79" s="108">
        <v>6083.916666666667</v>
      </c>
      <c r="AG79" s="108">
        <v>5482.5486111111122</v>
      </c>
      <c r="AH79" s="108">
        <v>3997.0277777777774</v>
      </c>
      <c r="AI79" s="108">
        <v>3351.5</v>
      </c>
      <c r="AJ79" s="108">
        <v>5788.354166666667</v>
      </c>
      <c r="AK79" s="108">
        <v>4367.104166666667</v>
      </c>
      <c r="AL79" s="108">
        <v>2463.1388888888891</v>
      </c>
      <c r="AM79" s="108">
        <v>1345.0138888888889</v>
      </c>
      <c r="AN79" s="108">
        <v>2647.0069444444448</v>
      </c>
      <c r="AO79" s="108">
        <v>3637.2638888888887</v>
      </c>
      <c r="AP79" s="108">
        <v>4110.4097222222226</v>
      </c>
      <c r="AQ79" s="108">
        <v>4652.0555555555557</v>
      </c>
      <c r="AR79" s="108">
        <v>5699.0069444444453</v>
      </c>
      <c r="AS79" s="108">
        <v>4758.979166666667</v>
      </c>
      <c r="AT79" s="108">
        <v>4310.145833333333</v>
      </c>
      <c r="AU79" s="108">
        <v>7451.2361111111104</v>
      </c>
      <c r="AV79" s="108">
        <v>4816.604166666667</v>
      </c>
      <c r="AW79" s="108">
        <v>4649.3888888888887</v>
      </c>
      <c r="AX79" s="108">
        <v>3978.7847222222222</v>
      </c>
      <c r="AY79" s="108">
        <v>4190.6805555555557</v>
      </c>
      <c r="AZ79" s="108">
        <v>3921.8888888888887</v>
      </c>
      <c r="BA79" s="108">
        <v>3957.6111111111109</v>
      </c>
      <c r="BB79" s="108">
        <v>5042.0486111111104</v>
      </c>
      <c r="BC79" s="108">
        <v>2823.2847222222222</v>
      </c>
      <c r="BD79" s="108">
        <v>4111.4305555555557</v>
      </c>
      <c r="BE79" s="108">
        <v>5775.1319444444453</v>
      </c>
      <c r="BF79" s="108">
        <v>5034.3611111111104</v>
      </c>
      <c r="BG79" s="108">
        <v>5401.166666666667</v>
      </c>
      <c r="BH79" s="108">
        <v>3177.125</v>
      </c>
    </row>
    <row r="80" spans="1:60" x14ac:dyDescent="0.2">
      <c r="A80" s="85">
        <v>6</v>
      </c>
      <c r="B80" s="86">
        <v>14275.112500000001</v>
      </c>
      <c r="C80" s="86">
        <v>6815.668333333334</v>
      </c>
      <c r="D80" s="86">
        <v>2421.380714285714</v>
      </c>
      <c r="E80" s="86">
        <v>6771.3783333333349</v>
      </c>
      <c r="F80" s="86"/>
      <c r="G80" s="85" t="s">
        <v>190</v>
      </c>
    </row>
    <row r="81" spans="1:6" x14ac:dyDescent="0.2">
      <c r="A81" s="85" t="s">
        <v>258</v>
      </c>
      <c r="B81" s="86"/>
      <c r="C81" s="86"/>
      <c r="D81" s="86"/>
      <c r="E81" s="86"/>
      <c r="F81" s="86"/>
    </row>
    <row r="82" spans="1:6" x14ac:dyDescent="0.2">
      <c r="A82" s="85" t="s">
        <v>261</v>
      </c>
      <c r="B82" s="86"/>
      <c r="C82" s="86"/>
      <c r="D82" s="86"/>
      <c r="E82" s="86"/>
    </row>
    <row r="84" spans="1:6" x14ac:dyDescent="0.2">
      <c r="A84" s="85" t="s">
        <v>191</v>
      </c>
    </row>
    <row r="85" spans="1:6" x14ac:dyDescent="0.2">
      <c r="A85" s="85" t="str">
        <f>G74</f>
        <v>京都市</v>
      </c>
      <c r="B85" s="110">
        <f>G75</f>
        <v>0.9766171720187844</v>
      </c>
      <c r="C85" s="110">
        <f>G76</f>
        <v>1.0712296250722293</v>
      </c>
      <c r="D85" s="110">
        <f>G78</f>
        <v>0.28507151419610161</v>
      </c>
      <c r="E85" s="110">
        <f>G79</f>
        <v>0.48379732470354592</v>
      </c>
    </row>
    <row r="87" spans="1:6" x14ac:dyDescent="0.2">
      <c r="A87" s="85" t="s">
        <v>259</v>
      </c>
    </row>
    <row r="88" spans="1:6" x14ac:dyDescent="0.2">
      <c r="A88" s="85" t="s">
        <v>260</v>
      </c>
      <c r="B88" s="152">
        <f>9618/8762</f>
        <v>1.0976945902761928</v>
      </c>
      <c r="C88" s="152">
        <f>5133/6100</f>
        <v>0.84147540983606561</v>
      </c>
      <c r="D88" s="152">
        <f>1898/828</f>
        <v>2.2922705314009661</v>
      </c>
      <c r="E88" s="152">
        <f>6228/3415</f>
        <v>1.8237188872620791</v>
      </c>
    </row>
    <row r="90" spans="1:6" x14ac:dyDescent="0.2">
      <c r="A90" s="85" t="s">
        <v>262</v>
      </c>
    </row>
    <row r="91" spans="1:6" x14ac:dyDescent="0.2">
      <c r="B91" s="85">
        <f>IF(初期設定!E61="",初期設定!E60,初期設定!E61)</f>
        <v>756.6</v>
      </c>
      <c r="D91" s="156" t="s">
        <v>288</v>
      </c>
    </row>
    <row r="92" spans="1:6" x14ac:dyDescent="0.2">
      <c r="B92" s="85">
        <f>IF(初期設定!D61="",IF(初期設定!E61="",初期設定!D60,初期設定!D61),初期設定!D61)</f>
        <v>0</v>
      </c>
      <c r="D92" s="156" t="s">
        <v>289</v>
      </c>
    </row>
    <row r="93" spans="1:6" x14ac:dyDescent="0.2">
      <c r="B93" s="85">
        <f>INDEX(C15:C20,$G7)/診断計算!C22</f>
        <v>13.418356788079471</v>
      </c>
      <c r="C93" s="85" t="s">
        <v>266</v>
      </c>
      <c r="D93" s="156" t="s">
        <v>290</v>
      </c>
    </row>
    <row r="94" spans="1:6" x14ac:dyDescent="0.2">
      <c r="B94" s="85">
        <f>B93*30000</f>
        <v>402550.70364238415</v>
      </c>
      <c r="C94" s="85" t="s">
        <v>267</v>
      </c>
    </row>
    <row r="95" spans="1:6" x14ac:dyDescent="0.2">
      <c r="B95" s="85">
        <f>B94/860</f>
        <v>468.082213537656</v>
      </c>
      <c r="C95" s="85" t="s">
        <v>268</v>
      </c>
      <c r="D95" s="85" t="s">
        <v>269</v>
      </c>
    </row>
    <row r="96" spans="1:6" x14ac:dyDescent="0.2">
      <c r="B96" s="85">
        <f>B95*B23</f>
        <v>12249.711528280459</v>
      </c>
      <c r="C96" s="85" t="s">
        <v>270</v>
      </c>
      <c r="D96" s="85" t="s">
        <v>271</v>
      </c>
    </row>
    <row r="97" spans="1:4" x14ac:dyDescent="0.2">
      <c r="B97" s="85">
        <f>B96/B104</f>
        <v>4083.2371760934861</v>
      </c>
      <c r="C97" s="85" t="s">
        <v>270</v>
      </c>
      <c r="D97" s="156" t="s">
        <v>291</v>
      </c>
    </row>
    <row r="99" spans="1:4" x14ac:dyDescent="0.2">
      <c r="B99" s="85">
        <f>INDEX(B15:B20,$G7)*B23/B22*IF(AF7=2,B88,1)</f>
        <v>13407.233602204871</v>
      </c>
      <c r="C99" s="85" t="s">
        <v>276</v>
      </c>
      <c r="D99" s="85" t="s">
        <v>274</v>
      </c>
    </row>
    <row r="100" spans="1:4" x14ac:dyDescent="0.2">
      <c r="B100" s="85">
        <f>IF(B99&gt;F50,(B99-C51)/D51,IF(B99&gt;F49,(B99-C50)/C$50,(B99-C$49)/D49))</f>
        <v>464.61663502392599</v>
      </c>
      <c r="C100" s="85" t="s">
        <v>275</v>
      </c>
      <c r="D100" s="85" t="s">
        <v>273</v>
      </c>
    </row>
    <row r="103" spans="1:4" x14ac:dyDescent="0.2">
      <c r="A103" s="156" t="s">
        <v>293</v>
      </c>
    </row>
    <row r="104" spans="1:4" x14ac:dyDescent="0.2">
      <c r="B104" s="85">
        <v>3</v>
      </c>
      <c r="C104" s="156" t="s">
        <v>30</v>
      </c>
      <c r="D104" s="156" t="s">
        <v>294</v>
      </c>
    </row>
    <row r="105" spans="1:4" x14ac:dyDescent="0.2">
      <c r="A105" s="156" t="s">
        <v>295</v>
      </c>
    </row>
    <row r="106" spans="1:4" x14ac:dyDescent="0.2">
      <c r="B106" s="85">
        <v>1890</v>
      </c>
      <c r="C106" s="156" t="s">
        <v>276</v>
      </c>
    </row>
    <row r="107" spans="1:4" x14ac:dyDescent="0.2">
      <c r="A107" s="156"/>
    </row>
    <row r="108" spans="1:4" x14ac:dyDescent="0.2">
      <c r="C108" s="156"/>
    </row>
    <row r="110" spans="1:4" x14ac:dyDescent="0.2">
      <c r="A110" s="156"/>
    </row>
  </sheetData>
  <sheetProtection selectLockedCells="1" selectUnlockedCells="1"/>
  <phoneticPr fontId="3"/>
  <pageMargins left="0.75" right="0.75" top="1" bottom="1" header="0.51200000000000001" footer="0.51200000000000001"/>
  <pageSetup paperSize="9" orientation="portrait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IU55"/>
  <sheetViews>
    <sheetView view="pageBreakPreview" zoomScale="130" zoomScaleNormal="115" zoomScaleSheetLayoutView="130" workbookViewId="0">
      <selection activeCell="E58" sqref="E58"/>
    </sheetView>
  </sheetViews>
  <sheetFormatPr defaultColWidth="0" defaultRowHeight="13" x14ac:dyDescent="0.2"/>
  <cols>
    <col min="1" max="1" width="6" style="27" customWidth="1"/>
    <col min="2" max="5" width="9" style="27" customWidth="1"/>
    <col min="6" max="6" width="5" style="27" customWidth="1"/>
    <col min="7" max="7" width="9" style="27" customWidth="1"/>
    <col min="8" max="8" width="12.36328125" style="27" customWidth="1"/>
    <col min="9" max="9" width="14.08984375" style="27" customWidth="1"/>
    <col min="10" max="10" width="4.453125" style="27" customWidth="1"/>
    <col min="11" max="11" width="1.08984375" style="27" hidden="1" customWidth="1"/>
    <col min="12" max="253" width="0" style="27" hidden="1" customWidth="1"/>
    <col min="254" max="255" width="9" style="27" hidden="1" customWidth="1"/>
    <col min="256" max="16384" width="0" style="27" hidden="1"/>
  </cols>
  <sheetData>
    <row r="1" spans="1:10" x14ac:dyDescent="0.2">
      <c r="I1" s="27" t="s">
        <v>370</v>
      </c>
      <c r="J1" s="27">
        <v>1</v>
      </c>
    </row>
    <row r="2" spans="1:10" x14ac:dyDescent="0.2">
      <c r="H2" s="248">
        <f ca="1">NOW()</f>
        <v>44172.433890277774</v>
      </c>
      <c r="I2" s="248"/>
    </row>
    <row r="4" spans="1:10" ht="30" x14ac:dyDescent="0.2">
      <c r="B4" s="178" t="s">
        <v>337</v>
      </c>
      <c r="C4" s="177"/>
      <c r="D4" s="28"/>
      <c r="E4" s="28"/>
      <c r="F4" s="28"/>
      <c r="G4" s="28"/>
      <c r="H4" s="28"/>
      <c r="I4" s="175" t="str">
        <f>IF(診断計算!AE7="","",診断計算!AE7&amp;" 様　　　")</f>
        <v>サンプル 様　　　</v>
      </c>
    </row>
    <row r="5" spans="1:10" ht="18" customHeight="1" x14ac:dyDescent="0.2"/>
    <row r="6" spans="1:10" ht="16.5" x14ac:dyDescent="0.2">
      <c r="A6" s="169" t="s">
        <v>367</v>
      </c>
    </row>
    <row r="7" spans="1:10" ht="15.75" customHeight="1" x14ac:dyDescent="0.2">
      <c r="E7" s="27" t="s">
        <v>248</v>
      </c>
      <c r="G7" s="250" t="str">
        <f>"　取組み項目を、「"&amp;初期設定!C9&amp;"」「"&amp;初期設定!C10&amp;"」「"&amp;初期設定!C11&amp;"」「"&amp;初期設定!C12&amp;"」「"&amp;初期設定!C13&amp;"」の5種類に分類して、得点を左のグラフにしてみました。5角形が大きいほど、よく取組めていることを示しています。"</f>
        <v>　取組み項目を、「家電」「冷暖房」「給湯」「車」「再ｴﾈ・意識」の5種類に分類して、得点を左のグラフにしてみました。5角形が大きいほど、よく取組めていることを示しています。</v>
      </c>
      <c r="H7" s="250"/>
      <c r="I7" s="250"/>
    </row>
    <row r="8" spans="1:10" ht="11.25" customHeight="1" x14ac:dyDescent="0.2">
      <c r="G8" s="250"/>
      <c r="H8" s="250"/>
      <c r="I8" s="250"/>
    </row>
    <row r="9" spans="1:10" x14ac:dyDescent="0.2">
      <c r="G9" s="250"/>
      <c r="H9" s="250"/>
      <c r="I9" s="250"/>
    </row>
    <row r="10" spans="1:10" ht="13.5" customHeight="1" x14ac:dyDescent="0.2">
      <c r="G10" s="250"/>
      <c r="H10" s="250"/>
      <c r="I10" s="250"/>
    </row>
    <row r="11" spans="1:10" x14ac:dyDescent="0.2">
      <c r="G11" s="250"/>
      <c r="H11" s="250"/>
      <c r="I11" s="250"/>
    </row>
    <row r="12" spans="1:10" ht="12" customHeight="1" x14ac:dyDescent="0.2">
      <c r="G12" s="249" t="str">
        <f>"　"&amp;診断計算!$P$16&amp;診断計算!$P$17</f>
        <v>　再ｴﾈ・意識についてよく取り組めています。冷暖房、車の取り組みがやや低めです</v>
      </c>
      <c r="H12" s="249"/>
      <c r="I12" s="249"/>
    </row>
    <row r="13" spans="1:10" x14ac:dyDescent="0.2">
      <c r="G13" s="249"/>
      <c r="H13" s="249"/>
      <c r="I13" s="249"/>
    </row>
    <row r="14" spans="1:10" ht="13.5" customHeight="1" x14ac:dyDescent="0.2">
      <c r="G14" s="249"/>
      <c r="H14" s="249"/>
      <c r="I14" s="249"/>
    </row>
    <row r="15" spans="1:10" x14ac:dyDescent="0.2">
      <c r="G15" s="249"/>
      <c r="H15" s="249"/>
      <c r="I15" s="249"/>
    </row>
    <row r="16" spans="1:10" ht="12" customHeight="1" x14ac:dyDescent="0.2">
      <c r="G16" s="251" t="str">
        <f ca="1">"　"&amp;診断計算!AG33</f>
        <v>　冷蔵庫を1台にする、なるべく公共交通を利用したり自転車や徒歩にする、世界のCO2排出をゼロにする目標について調べる、といった取り組みができているのは素晴らしいです。</v>
      </c>
      <c r="H16" s="251"/>
      <c r="I16" s="251"/>
    </row>
    <row r="17" spans="1:10" x14ac:dyDescent="0.2">
      <c r="G17" s="251"/>
      <c r="H17" s="251"/>
      <c r="I17" s="251"/>
    </row>
    <row r="18" spans="1:10" x14ac:dyDescent="0.2">
      <c r="G18" s="251"/>
      <c r="H18" s="251"/>
      <c r="I18" s="251"/>
    </row>
    <row r="19" spans="1:10" x14ac:dyDescent="0.2">
      <c r="G19" s="251"/>
      <c r="H19" s="251"/>
      <c r="I19" s="251"/>
    </row>
    <row r="20" spans="1:10" x14ac:dyDescent="0.2">
      <c r="G20" s="251"/>
      <c r="H20" s="251"/>
      <c r="I20" s="251"/>
    </row>
    <row r="21" spans="1:10" x14ac:dyDescent="0.2">
      <c r="G21" s="251"/>
      <c r="H21" s="251"/>
      <c r="I21" s="251"/>
    </row>
    <row r="22" spans="1:10" ht="18" customHeight="1" x14ac:dyDescent="0.2">
      <c r="G22" s="251"/>
      <c r="H22" s="251"/>
      <c r="I22" s="251"/>
    </row>
    <row r="23" spans="1:10" ht="16.5" x14ac:dyDescent="0.2">
      <c r="A23" s="170" t="s">
        <v>356</v>
      </c>
    </row>
    <row r="24" spans="1:10" x14ac:dyDescent="0.2">
      <c r="B24" s="171" t="str">
        <f>"　"&amp;IF(AVERAGE(診断計算!$J$14:$N$14)=100,"ありがとうございます。すべての項目で、とてもよく取り組めています。","未来のために、ぜひこんな取組みにチャレンジしてみてください。")</f>
        <v>　未来のために、ぜひこんな取組みにチャレンジしてみてください。</v>
      </c>
      <c r="C24" s="172"/>
      <c r="D24" s="172"/>
      <c r="E24" s="172"/>
      <c r="F24" s="172"/>
      <c r="G24" s="172"/>
      <c r="H24" s="172"/>
      <c r="I24" s="172"/>
    </row>
    <row r="25" spans="1:10" ht="6" customHeight="1" x14ac:dyDescent="0.2">
      <c r="B25" s="172"/>
      <c r="C25" s="172"/>
      <c r="D25" s="172"/>
      <c r="E25" s="172"/>
      <c r="F25" s="172"/>
      <c r="G25" s="172"/>
      <c r="H25" s="172"/>
      <c r="I25" s="172"/>
    </row>
    <row r="26" spans="1:10" s="166" customFormat="1" ht="19.5" customHeight="1" x14ac:dyDescent="0.2">
      <c r="B26" s="174" t="str">
        <f ca="1">IF(AVERAGE(診断計算!$J$14:$N$14)=100,"ぜひ自分で取り組んでよかったことを、周りの人にもすすめてみてください。",診断計算!$AF$21)</f>
        <v>「電気自動車などエコカーにする」</v>
      </c>
      <c r="C26" s="173"/>
      <c r="D26" s="173"/>
      <c r="E26" s="173"/>
      <c r="F26" s="173"/>
      <c r="G26" s="173"/>
      <c r="H26" s="173"/>
      <c r="I26" s="173"/>
    </row>
    <row r="27" spans="1:10" s="166" customFormat="1" ht="19.5" customHeight="1" x14ac:dyDescent="0.2">
      <c r="B27" s="174" t="str">
        <f ca="1">診断計算!$AF$24</f>
        <v>「内窓など窓の断熱リフォームや、すだれやオーニングなどで遮熱をする」</v>
      </c>
      <c r="C27" s="173"/>
      <c r="D27" s="173"/>
      <c r="E27" s="173"/>
      <c r="F27" s="173"/>
      <c r="G27" s="173"/>
      <c r="H27" s="173"/>
      <c r="I27" s="173"/>
    </row>
    <row r="28" spans="1:10" s="166" customFormat="1" ht="19.5" customHeight="1" x14ac:dyDescent="0.2">
      <c r="B28" s="174" t="str">
        <f ca="1">診断計算!$AF$27</f>
        <v>「なるべく公共交通を使ったり、自転車や徒歩にする」</v>
      </c>
      <c r="C28" s="173"/>
      <c r="D28" s="173"/>
      <c r="E28" s="173"/>
      <c r="F28" s="173"/>
      <c r="G28" s="173"/>
      <c r="H28" s="173"/>
      <c r="I28" s="173"/>
    </row>
    <row r="29" spans="1:10" ht="26.25" customHeight="1" x14ac:dyDescent="0.2">
      <c r="B29" s="252" t="str">
        <f>診断計算!AP8</f>
        <v>冷蔵庫、照明器具、車、を長く大切に使っているようです。買い替えの場合にはぜひ省エネ性能で選んでください。</v>
      </c>
      <c r="C29" s="252"/>
      <c r="D29" s="252"/>
      <c r="E29" s="252"/>
      <c r="F29" s="252"/>
      <c r="G29" s="252"/>
      <c r="H29" s="252"/>
      <c r="I29" s="252"/>
      <c r="J29" s="165"/>
    </row>
    <row r="30" spans="1:10" ht="15" customHeight="1" x14ac:dyDescent="0.2"/>
    <row r="31" spans="1:10" ht="16.5" x14ac:dyDescent="0.2">
      <c r="A31" s="169" t="s">
        <v>365</v>
      </c>
    </row>
    <row r="32" spans="1:10" ht="17.25" customHeight="1" x14ac:dyDescent="0.2">
      <c r="G32" s="246" t="str">
        <f>"光熱費・ガソリン代を"&amp;初期設定!C75&amp;IF(診断計算!AF7=2,"郊外","")&amp;"の"&amp;診断計算!A27&amp;IF(診断計算!AD6=1,"(オール電化)","")&amp;"と比較しました。"</f>
        <v>光熱費・ガソリン代を京都市の5人家族の標準と比較しました。</v>
      </c>
      <c r="H32" s="246"/>
      <c r="I32" s="246"/>
    </row>
    <row r="33" spans="1:9" x14ac:dyDescent="0.2">
      <c r="G33" s="247"/>
      <c r="H33" s="247"/>
      <c r="I33" s="247"/>
    </row>
    <row r="34" spans="1:9" x14ac:dyDescent="0.2">
      <c r="G34" s="167"/>
      <c r="H34" s="168" t="s">
        <v>28</v>
      </c>
      <c r="I34" s="168" t="s">
        <v>27</v>
      </c>
    </row>
    <row r="35" spans="1:9" ht="33" customHeight="1" x14ac:dyDescent="0.2">
      <c r="G35" s="167" t="s">
        <v>23</v>
      </c>
      <c r="H35" s="29" t="str">
        <f>IFERROR(ROUND(診断計算!B28,1)&amp;"倍","調べて")</f>
        <v>0.9倍</v>
      </c>
      <c r="I35" s="184" t="str">
        <f>診断計算!B29</f>
        <v>やや少なめ</v>
      </c>
    </row>
    <row r="36" spans="1:9" ht="33" customHeight="1" x14ac:dyDescent="0.2">
      <c r="G36" s="167" t="s">
        <v>24</v>
      </c>
      <c r="H36" s="29" t="str">
        <f>IFERROR(IF(診断計算!AD6=1,"- 倍",ROUND(診断計算!C28,1)&amp;"倍"),"調べて")</f>
        <v>1倍</v>
      </c>
      <c r="I36" s="184" t="str">
        <f>IF(H36="調べて","みましょう",診断計算!C29)</f>
        <v>ふつう</v>
      </c>
    </row>
    <row r="37" spans="1:9" ht="33" customHeight="1" x14ac:dyDescent="0.2">
      <c r="G37" s="167" t="s">
        <v>25</v>
      </c>
      <c r="H37" s="29" t="str">
        <f>IF(SUM(診断計算!B7:F7)=0,"調べて",ROUND(診断計算!D28,1)&amp;"倍")</f>
        <v>0倍</v>
      </c>
      <c r="I37" s="184" t="str">
        <f>IF(SUM(診断計算!B7:F7)=0,"みましょう",診断計算!D29)</f>
        <v>少なめ</v>
      </c>
    </row>
    <row r="38" spans="1:9" ht="33" customHeight="1" x14ac:dyDescent="0.2">
      <c r="G38" s="167" t="s">
        <v>26</v>
      </c>
      <c r="H38" s="29" t="str">
        <f>IF(SUM(診断計算!B7:F7)=0,"調べて",ROUND(診断計算!E28,1)&amp;"倍")</f>
        <v>2.2倍</v>
      </c>
      <c r="I38" s="184" t="str">
        <f>IF(SUM(診断計算!B7:F7)=0,"みましょう",診断計算!E29)</f>
        <v>やや多め</v>
      </c>
    </row>
    <row r="39" spans="1:9" ht="4.5" customHeight="1" x14ac:dyDescent="0.2"/>
    <row r="40" spans="1:9" ht="4.5" customHeight="1" x14ac:dyDescent="0.2"/>
    <row r="41" spans="1:9" ht="4.5" customHeight="1" x14ac:dyDescent="0.2"/>
    <row r="42" spans="1:9" ht="4.5" customHeight="1" x14ac:dyDescent="0.2"/>
    <row r="43" spans="1:9" ht="16.5" x14ac:dyDescent="0.2">
      <c r="A43" s="169" t="s">
        <v>366</v>
      </c>
    </row>
    <row r="45" spans="1:9" x14ac:dyDescent="0.2">
      <c r="B45" s="186" t="str">
        <f>IF(SUM(診断計算!$A$26:$E$26)=0,"光熱費等のデータがないので標準で計算すると。","")</f>
        <v/>
      </c>
    </row>
    <row r="46" spans="1:9" x14ac:dyDescent="0.2">
      <c r="B46" s="27" t="s">
        <v>357</v>
      </c>
    </row>
    <row r="47" spans="1:9" ht="19" x14ac:dyDescent="0.2">
      <c r="B47" s="182">
        <f>診断計算!F68</f>
        <v>498.72720328744697</v>
      </c>
      <c r="C47" s="185" t="str">
        <f>IF(SUM(診断計算!$A$26:$E$26)=0,"kgの二酸化炭素が排出されていそうです。","kgの二酸化炭素が排出されます。")</f>
        <v>kgの二酸化炭素が排出されます。</v>
      </c>
    </row>
    <row r="48" spans="1:9" ht="21" x14ac:dyDescent="0.2">
      <c r="C48" s="181" t="str">
        <f>診断計算!G7&amp;"人家族標準と比べて"</f>
        <v>5人家族標準と比べて</v>
      </c>
      <c r="D48" s="183">
        <f>ROUND(診断計算!F68/診断計算!F69,1)</f>
        <v>0.9</v>
      </c>
      <c r="E48" s="27" t="s">
        <v>369</v>
      </c>
    </row>
    <row r="49" spans="2:10" ht="13.4" customHeight="1" x14ac:dyDescent="0.2">
      <c r="B49" s="253" t="str">
        <f>"　地球温暖化が進んできています。産業革命からの気温上昇を1.5℃に抑えるためには、世界の排出量を2030年までに2010年比で45％削減し（0.55倍程度）、2050年前後に実質ゼロに近づける必要があります。　"</f>
        <v>　地球温暖化が進んできています。産業革命からの気温上昇を1.5℃に抑えるためには、世界の排出量を2030年までに2010年比で45％削減し（0.55倍程度）、2050年前後に実質ゼロに近づける必要があります。　</v>
      </c>
      <c r="C49" s="253"/>
      <c r="D49" s="253"/>
      <c r="E49" s="253"/>
      <c r="F49" s="253"/>
    </row>
    <row r="50" spans="2:10" x14ac:dyDescent="0.2">
      <c r="B50" s="253"/>
      <c r="C50" s="253"/>
      <c r="D50" s="253"/>
      <c r="E50" s="253"/>
      <c r="F50" s="253"/>
    </row>
    <row r="51" spans="2:10" x14ac:dyDescent="0.2">
      <c r="B51" s="253"/>
      <c r="C51" s="253"/>
      <c r="D51" s="253"/>
      <c r="E51" s="253"/>
      <c r="F51" s="253"/>
    </row>
    <row r="52" spans="2:10" x14ac:dyDescent="0.2">
      <c r="B52" s="253"/>
      <c r="C52" s="253"/>
      <c r="D52" s="253"/>
      <c r="E52" s="253"/>
      <c r="F52" s="253"/>
    </row>
    <row r="53" spans="2:10" x14ac:dyDescent="0.2">
      <c r="B53" s="244" t="str">
        <f>IF(D48&gt;0.55,"　まずは 2030年 までに　目指せ0.55倍以下！","　2030年の目標は達成！次は目指せゼロ！")</f>
        <v>　まずは 2030年 までに　目指せ0.55倍以下！</v>
      </c>
      <c r="C53" s="244"/>
      <c r="D53" s="244"/>
      <c r="E53" s="244"/>
      <c r="F53" s="244"/>
    </row>
    <row r="54" spans="2:10" ht="16.399999999999999" customHeight="1" x14ac:dyDescent="0.2">
      <c r="B54" s="245" t="str">
        <f>IF(D48&gt;0.55,"10年後、30年後に向けて減らす準備をしましょう。","30年後に向けて減らす準備をしましょう。")</f>
        <v>10年後、30年後に向けて減らす準備をしましょう。</v>
      </c>
      <c r="C54" s="245"/>
      <c r="D54" s="245"/>
      <c r="E54" s="245"/>
      <c r="F54" s="245"/>
    </row>
    <row r="55" spans="2:10" ht="16.399999999999999" customHeight="1" x14ac:dyDescent="0.2">
      <c r="J55" s="176" t="s">
        <v>443</v>
      </c>
    </row>
  </sheetData>
  <mergeCells count="9">
    <mergeCell ref="B53:F53"/>
    <mergeCell ref="B54:F54"/>
    <mergeCell ref="G32:I33"/>
    <mergeCell ref="H2:I2"/>
    <mergeCell ref="G12:I15"/>
    <mergeCell ref="G7:I11"/>
    <mergeCell ref="G16:I22"/>
    <mergeCell ref="B29:I29"/>
    <mergeCell ref="B49:F52"/>
  </mergeCells>
  <phoneticPr fontId="3"/>
  <printOptions horizontalCentered="1" verticalCentered="1"/>
  <pageMargins left="0.74803149606299213" right="0.70866141732283472" top="0.43307086614173229" bottom="0.39370078740157483" header="0.51181102362204722" footer="0.51181102362204722"/>
  <pageSetup paperSize="9" scale="98" orientation="portrait" horizont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29"/>
  <sheetViews>
    <sheetView zoomScale="85" zoomScaleNormal="85" workbookViewId="0">
      <selection activeCell="B34" sqref="B34"/>
    </sheetView>
  </sheetViews>
  <sheetFormatPr defaultRowHeight="13" x14ac:dyDescent="0.2"/>
  <cols>
    <col min="1" max="1" width="2.7265625" customWidth="1"/>
    <col min="2" max="2" width="24.7265625" customWidth="1"/>
    <col min="3" max="3" width="16.26953125" customWidth="1"/>
    <col min="4" max="9" width="6.90625" customWidth="1"/>
    <col min="10" max="12" width="0" hidden="1" customWidth="1"/>
    <col min="13" max="14" width="9" hidden="1" customWidth="1"/>
  </cols>
  <sheetData>
    <row r="1" spans="1:14" ht="19" x14ac:dyDescent="0.2">
      <c r="A1" s="143" t="s">
        <v>216</v>
      </c>
      <c r="G1" s="254"/>
      <c r="H1" s="254"/>
    </row>
    <row r="3" spans="1:14" x14ac:dyDescent="0.2">
      <c r="A3" t="s">
        <v>237</v>
      </c>
    </row>
    <row r="4" spans="1:14" ht="26" x14ac:dyDescent="0.2">
      <c r="B4" s="144"/>
      <c r="C4" s="145" t="s">
        <v>236</v>
      </c>
      <c r="D4" s="138" t="s">
        <v>227</v>
      </c>
      <c r="E4" s="138" t="s">
        <v>228</v>
      </c>
      <c r="F4" s="138" t="s">
        <v>229</v>
      </c>
      <c r="G4" s="138" t="s">
        <v>230</v>
      </c>
      <c r="H4" s="138" t="s">
        <v>231</v>
      </c>
      <c r="I4" s="139" t="s">
        <v>426</v>
      </c>
    </row>
    <row r="5" spans="1:14" x14ac:dyDescent="0.2">
      <c r="B5" s="130" t="s">
        <v>238</v>
      </c>
      <c r="C5" s="146">
        <f>COUNT(入力!C22:C6557)</f>
        <v>1</v>
      </c>
      <c r="D5" s="131">
        <f>入力!C11</f>
        <v>0</v>
      </c>
      <c r="E5" s="131">
        <f>入力!C12</f>
        <v>0</v>
      </c>
      <c r="F5" s="131">
        <f>入力!C13</f>
        <v>0</v>
      </c>
      <c r="G5" s="131">
        <f>入力!C14</f>
        <v>0</v>
      </c>
      <c r="H5" s="131">
        <f>入力!C15</f>
        <v>1</v>
      </c>
      <c r="I5" s="135">
        <f>COUNTIF(入力!C22:C6557,"&gt;=6")</f>
        <v>0</v>
      </c>
    </row>
    <row r="7" spans="1:14" x14ac:dyDescent="0.2">
      <c r="A7" t="s">
        <v>278</v>
      </c>
      <c r="C7" s="145" t="s">
        <v>252</v>
      </c>
      <c r="D7" s="145">
        <f>入力!E11</f>
        <v>1</v>
      </c>
    </row>
    <row r="8" spans="1:14" x14ac:dyDescent="0.2">
      <c r="C8" s="145" t="s">
        <v>253</v>
      </c>
      <c r="D8" s="145">
        <f>入力!E12</f>
        <v>0</v>
      </c>
    </row>
    <row r="10" spans="1:14" x14ac:dyDescent="0.2">
      <c r="A10" t="s">
        <v>420</v>
      </c>
    </row>
    <row r="11" spans="1:14" x14ac:dyDescent="0.2">
      <c r="B11" s="144"/>
      <c r="C11" s="145" t="s">
        <v>66</v>
      </c>
      <c r="D11" s="145" t="s">
        <v>421</v>
      </c>
      <c r="E11" s="145" t="s">
        <v>422</v>
      </c>
      <c r="F11" s="145" t="s">
        <v>423</v>
      </c>
      <c r="G11" s="145" t="s">
        <v>424</v>
      </c>
    </row>
    <row r="12" spans="1:14" x14ac:dyDescent="0.2">
      <c r="B12" s="130" t="s">
        <v>238</v>
      </c>
      <c r="C12" s="146">
        <f>SUM(D12:G12)</f>
        <v>1</v>
      </c>
      <c r="D12" s="145">
        <f>COUNTIFS(入力!F22:F121,1)</f>
        <v>1</v>
      </c>
      <c r="E12" s="145">
        <f>COUNTIFS(入力!F22:F121,2)</f>
        <v>0</v>
      </c>
      <c r="F12" s="145">
        <f>COUNTIFS(入力!F22:F121,3)</f>
        <v>0</v>
      </c>
      <c r="G12" s="145">
        <f>COUNTIFS(入力!F22:F121,4)</f>
        <v>0</v>
      </c>
    </row>
    <row r="14" spans="1:14" x14ac:dyDescent="0.2">
      <c r="A14" t="s">
        <v>425</v>
      </c>
    </row>
    <row r="15" spans="1:14" x14ac:dyDescent="0.2">
      <c r="B15" s="144"/>
      <c r="C15" s="145"/>
      <c r="D15" s="208" t="s">
        <v>325</v>
      </c>
      <c r="E15" s="208" t="s">
        <v>327</v>
      </c>
      <c r="F15" s="208" t="s">
        <v>328</v>
      </c>
      <c r="G15" s="208" t="s">
        <v>329</v>
      </c>
      <c r="H15" s="208" t="s">
        <v>331</v>
      </c>
      <c r="I15" s="208" t="s">
        <v>332</v>
      </c>
      <c r="J15" s="207" t="s">
        <v>334</v>
      </c>
    </row>
    <row r="16" spans="1:14" x14ac:dyDescent="0.2">
      <c r="B16" s="130" t="s">
        <v>238</v>
      </c>
      <c r="C16" s="145"/>
      <c r="D16" s="145">
        <f>SUM(入力!H22:H121)</f>
        <v>0</v>
      </c>
      <c r="E16" s="145">
        <f>SUM(入力!I22:I121)</f>
        <v>1</v>
      </c>
      <c r="F16" s="145">
        <f>SUM(入力!J22:J121)</f>
        <v>1</v>
      </c>
      <c r="G16" s="145">
        <f>SUM(入力!K22:K121)</f>
        <v>0</v>
      </c>
      <c r="H16" s="145">
        <f>SUM(入力!L22:L121)</f>
        <v>0</v>
      </c>
      <c r="I16" s="145">
        <f>SUM(入力!M22:M121)</f>
        <v>0</v>
      </c>
      <c r="J16">
        <f>SUM(入力!N22:N121)</f>
        <v>1</v>
      </c>
      <c r="K16">
        <f>SUM(入力!O22:O121)</f>
        <v>1</v>
      </c>
      <c r="L16">
        <f>SUM(入力!P22:P121)</f>
        <v>2</v>
      </c>
      <c r="M16">
        <f>SUM(入力!Q22:Q121)</f>
        <v>2</v>
      </c>
      <c r="N16">
        <f>SUM(入力!R22:R121)</f>
        <v>1</v>
      </c>
    </row>
    <row r="18" spans="1:10" x14ac:dyDescent="0.2">
      <c r="A18" t="s">
        <v>226</v>
      </c>
    </row>
    <row r="19" spans="1:10" x14ac:dyDescent="0.2">
      <c r="A19" s="124"/>
      <c r="B19" s="125"/>
      <c r="C19" s="124"/>
      <c r="D19" s="124" t="s">
        <v>233</v>
      </c>
      <c r="E19" s="125"/>
      <c r="F19" s="125"/>
      <c r="G19" s="125"/>
      <c r="H19" s="125"/>
      <c r="I19" s="126"/>
    </row>
    <row r="20" spans="1:10" ht="26" x14ac:dyDescent="0.2">
      <c r="A20" s="130"/>
      <c r="B20" s="131"/>
      <c r="C20" s="147" t="s">
        <v>239</v>
      </c>
      <c r="D20" s="137" t="s">
        <v>227</v>
      </c>
      <c r="E20" s="138" t="s">
        <v>228</v>
      </c>
      <c r="F20" s="138" t="s">
        <v>229</v>
      </c>
      <c r="G20" s="138" t="s">
        <v>230</v>
      </c>
      <c r="H20" s="138" t="s">
        <v>231</v>
      </c>
      <c r="I20" s="139" t="s">
        <v>232</v>
      </c>
    </row>
    <row r="21" spans="1:10" x14ac:dyDescent="0.2">
      <c r="A21" s="127"/>
      <c r="B21" s="107" t="s">
        <v>1</v>
      </c>
      <c r="C21" s="141">
        <f>入力!AK8</f>
        <v>12000</v>
      </c>
      <c r="D21" s="127">
        <f>SUMPRODUCT((入力!$AK$22:AK$1004&lt;&gt;"")*入力!$AK$22:AK$1004*(入力!$C$22:$C$1004=1))/MAX(1,D$5)</f>
        <v>0</v>
      </c>
      <c r="E21" s="107">
        <f>SUMPRODUCT((入力!$AK$22:$AK$1004&lt;&gt;"")*入力!$AK$22:$AK$1004*(入力!$C$22:$C$1004=2))/MAX(1,E$5)</f>
        <v>0</v>
      </c>
      <c r="F21" s="107">
        <f>SUMPRODUCT((入力!$AK$22:$AK$1004&lt;&gt;"")*入力!$AK$22:$AK$1004*(入力!$C$22:$C$1004=3))/MAX(1,F$5)</f>
        <v>0</v>
      </c>
      <c r="G21" s="107">
        <f>SUMPRODUCT((入力!$AK$22:$AK$1004&lt;&gt;"")*入力!$AK$22:$AK$1004*(入力!$C$22:$C$1004=4))/MAX(1,G$5)</f>
        <v>0</v>
      </c>
      <c r="H21" s="107">
        <f>SUMPRODUCT((入力!$AK$22:$AK$1004&lt;&gt;"")*入力!$AK$22:$AK$1004*(入力!$C$22:$C$1004=5))/MAX(1,H$5)</f>
        <v>12000</v>
      </c>
      <c r="I21" s="134">
        <f>SUMPRODUCT((入力!$AK$22:$AK$1004&lt;&gt;"")*入力!$AK$22:$AK$1004*(入力!$C$22:$C$1004&gt;=6))/MAX(1,I$5)</f>
        <v>0</v>
      </c>
    </row>
    <row r="22" spans="1:10" x14ac:dyDescent="0.2">
      <c r="A22" s="127"/>
      <c r="B22" s="107" t="s">
        <v>234</v>
      </c>
      <c r="C22" s="141">
        <f>入力!AL8</f>
        <v>10000</v>
      </c>
      <c r="D22" s="127">
        <f>SUMPRODUCT((入力!$AL$22:$AL$1004&lt;&gt;"")*入力!$AL$22:$AL$1004*(入力!$C$22:$C$1004=1))/MAX(1,D$5)</f>
        <v>0</v>
      </c>
      <c r="E22" s="107">
        <f>SUMPRODUCT((入力!$AL$22:$AL$1004&lt;&gt;"")*入力!$AL$22:$AL$1004*(入力!$C$22:$C$1004=2))/MAX(1,E$5)</f>
        <v>0</v>
      </c>
      <c r="F22" s="107">
        <f>SUMPRODUCT((入力!$AL$22:$AL$1004&lt;&gt;"")*入力!$AL$22:$AL$1004*(入力!$C$22:$C$1004=3))/MAX(1,F$5)</f>
        <v>0</v>
      </c>
      <c r="G22" s="107">
        <f>SUMPRODUCT((入力!$AL$22:$AL$1004&lt;&gt;"")*入力!$AL$22:$AL$1004*(入力!$C$22:$C$1004=4))/MAX(1,G$5)</f>
        <v>0</v>
      </c>
      <c r="H22" s="107">
        <f>SUMPRODUCT((入力!$AL$22:$AL$1004&lt;&gt;"")*入力!$AL$22:$AL$1004*(入力!$C$22:$C$1004=5))/MAX(1,H$5)</f>
        <v>10000</v>
      </c>
      <c r="I22" s="134">
        <f>SUMPRODUCT((入力!$AL$22:$AL$1004&lt;&gt;"")*入力!$AL$22:$AL$1004*(入力!$C$22:$C$1004&gt;=6))/MAX(1,I$5)</f>
        <v>0</v>
      </c>
    </row>
    <row r="23" spans="1:10" x14ac:dyDescent="0.2">
      <c r="A23" s="127"/>
      <c r="B23" s="107" t="s">
        <v>235</v>
      </c>
      <c r="C23" s="141" t="str">
        <f>入力!AM8</f>
        <v/>
      </c>
      <c r="D23" s="127">
        <f>SUMPRODUCT((入力!$AM$22:$AM$1004&lt;&gt;"")*入力!$AM$22:$AM$1004*(入力!$C$22:$C$1004=1))/MAX(1,D$5)</f>
        <v>0</v>
      </c>
      <c r="E23" s="107">
        <f>SUMPRODUCT((入力!$AM$22:$AM$1004&lt;&gt;"")*入力!$AM$22:$AM$1004*(入力!$C$22:$C$1004=2))/MAX(1,E$5)</f>
        <v>0</v>
      </c>
      <c r="F23" s="107">
        <f>SUMPRODUCT((入力!$AM$22:$AM$1004&lt;&gt;"")*入力!$AM$22:$AM$1004*(入力!$C$22:$C$1004=3))/MAX(1,F$5)</f>
        <v>0</v>
      </c>
      <c r="G23" s="107">
        <f>SUMPRODUCT((入力!$AM$22:$AM$1004&lt;&gt;"")*入力!$AM$22:$AM$1004*(入力!$C$22:$C$1004=4))/MAX(1,G$5)</f>
        <v>0</v>
      </c>
      <c r="H23" s="107">
        <f>SUMPRODUCT((入力!$AM$22:$AM$1004&lt;&gt;"")*入力!$AM$22:$AM$1004*(入力!$C$22:$C$1004=5))/MAX(1,H$5)</f>
        <v>0</v>
      </c>
      <c r="I23" s="134">
        <f>SUMPRODUCT((入力!$AM$22:$AM$1004&lt;&gt;"")*入力!$AM$22:$AM$1004*(入力!$C$22:$C$1004&gt;=6))/MAX(1,I$5)</f>
        <v>0</v>
      </c>
    </row>
    <row r="24" spans="1:10" x14ac:dyDescent="0.2">
      <c r="A24" s="127"/>
      <c r="B24" s="107" t="s">
        <v>2</v>
      </c>
      <c r="C24" s="141" t="str">
        <f>入力!AN8</f>
        <v/>
      </c>
      <c r="D24" s="127">
        <f>SUMPRODUCT((入力!$AN$22:$AN$1004&lt;&gt;"")*入力!$AN$22:$AN$1004*(入力!$C$22:$C$1004=1))/MAX(1,D$5)</f>
        <v>0</v>
      </c>
      <c r="E24" s="107">
        <f>SUMPRODUCT((入力!$AN$22:$AN$1004&lt;&gt;"")*入力!$AN$22:$AN$1004*(入力!$C$22:$C$1004=2))/MAX(1,E$5)</f>
        <v>0</v>
      </c>
      <c r="F24" s="107">
        <f>SUMPRODUCT((入力!$AN$22:$AN$1004&lt;&gt;"")*入力!$AN$22:$AN$1004*(入力!$C$22:$C$1004=3))/MAX(1,F$5)</f>
        <v>0</v>
      </c>
      <c r="G24" s="107">
        <f>SUMPRODUCT((入力!$AN$22:$AN$1004&lt;&gt;"")*入力!$AN$22:$AN$1004*(入力!$C$22:$C$1004=4))/MAX(1,G$5)</f>
        <v>0</v>
      </c>
      <c r="H24" s="107">
        <f>SUMPRODUCT((入力!$AN$22:$AN$1004&lt;&gt;"")*入力!$AN$22:$AN$1004*(入力!$C$22:$C$1004=5))/MAX(1,H$5)</f>
        <v>0</v>
      </c>
      <c r="I24" s="134">
        <f>SUMPRODUCT((入力!$AN$22:$AN$1004&lt;&gt;"")*入力!$AN$22:$AN$1004*(入力!$C$22:$C$1004&gt;=6))/MAX(1,I$5)</f>
        <v>0</v>
      </c>
    </row>
    <row r="25" spans="1:10" x14ac:dyDescent="0.2">
      <c r="A25" s="127"/>
      <c r="B25" s="107" t="s">
        <v>3</v>
      </c>
      <c r="C25" s="141">
        <f>入力!AO8</f>
        <v>8000</v>
      </c>
      <c r="D25" s="127">
        <f>SUMPRODUCT((入力!$AO$22:$AO$1004&lt;&gt;"")*入力!$AO$22:$AO$1004*(入力!$C$22:$C$1004=1))/MAX(1,D$5)</f>
        <v>0</v>
      </c>
      <c r="E25" s="107">
        <f>SUMPRODUCT((入力!$AO$22:$AO$1004&lt;&gt;"")*入力!$AO$22:$AO$1004*(入力!$C$22:$C$1004=2))/MAX(1,E$5)</f>
        <v>0</v>
      </c>
      <c r="F25" s="107">
        <f>SUMPRODUCT((入力!$AO$22:$AO$1004&lt;&gt;"")*入力!$AO$22:$AO$1004*(入力!$C$22:$C$1004=3))/MAX(1,F$5)</f>
        <v>0</v>
      </c>
      <c r="G25" s="107">
        <f>SUMPRODUCT((入力!$AO$22:$AO$1004&lt;&gt;"")*入力!$AO$22:$AO$1004*(入力!$C$22:$C$1004=4))/MAX(1,G$5)</f>
        <v>0</v>
      </c>
      <c r="H25" s="107">
        <f>SUMPRODUCT((入力!$AO$22:$AO$1004&lt;&gt;"")*入力!$AO$22:$AO$1004*(入力!$C$22:$C$1004=5))/MAX(1,H$5)</f>
        <v>8000</v>
      </c>
      <c r="I25" s="134">
        <f>SUMPRODUCT((入力!$AO$22:$AO$1004&lt;&gt;"")*入力!$AO$22:$AO$1004*(入力!$C$22:$C$1004&gt;=6))/MAX(1,I$5)</f>
        <v>0</v>
      </c>
    </row>
    <row r="26" spans="1:10" x14ac:dyDescent="0.2">
      <c r="A26" s="130"/>
      <c r="B26" s="131" t="s">
        <v>236</v>
      </c>
      <c r="C26" s="142">
        <f>SUM(C21,C24:C25)+IF(OR(C22="",C22=0),IF(OR(C23="",C23=0),0,C23),IF(OR(C23="",C23=0),C22,(C22+C23)/2))</f>
        <v>30000</v>
      </c>
      <c r="D26" s="142">
        <f t="shared" ref="D26:I26" si="0">SUM(D21,D24:D25)+IF(OR(D22="",D22=0),IF(OR(D23="",D23=0),0,D23),IF(OR(D23="",D23=0),D22,(D22+D23)/2))</f>
        <v>0</v>
      </c>
      <c r="E26" s="140">
        <f t="shared" si="0"/>
        <v>0</v>
      </c>
      <c r="F26" s="140">
        <f t="shared" si="0"/>
        <v>0</v>
      </c>
      <c r="G26" s="140">
        <f t="shared" si="0"/>
        <v>0</v>
      </c>
      <c r="H26" s="140">
        <f t="shared" si="0"/>
        <v>30000</v>
      </c>
      <c r="I26" s="132">
        <f t="shared" si="0"/>
        <v>0</v>
      </c>
    </row>
    <row r="28" spans="1:10" x14ac:dyDescent="0.2">
      <c r="A28" t="s">
        <v>277</v>
      </c>
      <c r="C28" s="145" t="s">
        <v>279</v>
      </c>
      <c r="D28" s="145">
        <f>入力!AP11</f>
        <v>0</v>
      </c>
    </row>
    <row r="29" spans="1:10" x14ac:dyDescent="0.2">
      <c r="C29" s="145" t="s">
        <v>280</v>
      </c>
      <c r="D29" s="145">
        <f>C5-D28</f>
        <v>1</v>
      </c>
    </row>
    <row r="31" spans="1:10" x14ac:dyDescent="0.2">
      <c r="A31" t="s">
        <v>218</v>
      </c>
    </row>
    <row r="32" spans="1:10" x14ac:dyDescent="0.2">
      <c r="A32" s="124"/>
      <c r="B32" s="125"/>
      <c r="C32" s="125"/>
      <c r="D32" s="125"/>
      <c r="E32" s="124" t="s">
        <v>240</v>
      </c>
      <c r="F32" s="125"/>
      <c r="G32" s="125"/>
      <c r="H32" s="126"/>
      <c r="I32" s="126" t="s">
        <v>217</v>
      </c>
      <c r="J32" t="s">
        <v>220</v>
      </c>
    </row>
    <row r="33" spans="1:14" ht="52" x14ac:dyDescent="0.2">
      <c r="A33" s="130"/>
      <c r="B33" s="131"/>
      <c r="C33" s="131"/>
      <c r="D33" s="131"/>
      <c r="E33" s="137" t="str">
        <f>初期設定!C16</f>
        <v>できている</v>
      </c>
      <c r="F33" s="138" t="str">
        <f>初期設定!C17</f>
        <v>半分くらい</v>
      </c>
      <c r="G33" s="138" t="str">
        <f>初期設定!C18</f>
        <v>できていない</v>
      </c>
      <c r="H33" s="139" t="str">
        <f>初期設定!C19</f>
        <v>持っていない・関係ない</v>
      </c>
      <c r="I33" s="136" t="s">
        <v>241</v>
      </c>
      <c r="J33">
        <v>1</v>
      </c>
      <c r="K33">
        <v>2</v>
      </c>
      <c r="L33">
        <v>3</v>
      </c>
      <c r="M33">
        <v>4</v>
      </c>
      <c r="N33">
        <v>5</v>
      </c>
    </row>
    <row r="34" spans="1:14" x14ac:dyDescent="0.2">
      <c r="A34" s="127"/>
      <c r="B34" s="107" t="s">
        <v>429</v>
      </c>
      <c r="C34" s="107"/>
      <c r="D34" s="107"/>
      <c r="E34" s="127">
        <f>COUNTIF(入力!$O$22:$O$6557,1)</f>
        <v>1</v>
      </c>
      <c r="F34" s="107">
        <f>COUNTIF(入力!$O$22:$O$6557,2)</f>
        <v>0</v>
      </c>
      <c r="G34" s="107">
        <f>COUNTIF(入力!$O$22:$O$6557,3)</f>
        <v>0</v>
      </c>
      <c r="H34" s="134">
        <f>COUNTIF(入力!$O$22:$O$6557,4)</f>
        <v>0</v>
      </c>
      <c r="I34" s="128">
        <f>IF(初期設定!$C$19=初期設定!$E$19,IF(初期設定!F23=1,IF(SUM(E34:H34)=0,"",((E34*2+H34*2)+F34)/SUM(E34:H34)*100/2),IF(SUM(E34:G34)=0,"",(E34*2+F34)/SUM(E34:G34)*100/2)),IF(SUM(E34:H34)=0,"",(E34*3+F34*2+G34)/SUM(E34:H34)*100/3))</f>
        <v>100</v>
      </c>
      <c r="J34" s="123">
        <f>IF(初期設定!$D23=集計レポート!J$33,集計レポート!$I34,"")</f>
        <v>100</v>
      </c>
      <c r="K34" s="123" t="str">
        <f>IF(初期設定!$D23=集計レポート!K$33,集計レポート!$I34,"")</f>
        <v/>
      </c>
      <c r="L34" s="123" t="str">
        <f>IF(初期設定!$D23=集計レポート!L$33,集計レポート!$I34,"")</f>
        <v/>
      </c>
      <c r="M34" s="123" t="str">
        <f>IF(初期設定!$D23=集計レポート!M$33,集計レポート!$I34,"")</f>
        <v/>
      </c>
      <c r="N34" s="123" t="str">
        <f>IF(初期設定!$D23=集計レポート!N$33,集計レポート!$I34,"")</f>
        <v/>
      </c>
    </row>
    <row r="35" spans="1:14" x14ac:dyDescent="0.2">
      <c r="A35" s="127"/>
      <c r="B35" s="107" t="s">
        <v>430</v>
      </c>
      <c r="C35" s="107"/>
      <c r="D35" s="107"/>
      <c r="E35" s="127">
        <f>COUNTIF(入力!$P$22:$P$6557,1)</f>
        <v>0</v>
      </c>
      <c r="F35" s="107">
        <f>COUNTIF(入力!$P$22:$P$6557,2)</f>
        <v>1</v>
      </c>
      <c r="G35" s="107">
        <f>COUNTIF(入力!$P$22:$P$6557,3)</f>
        <v>0</v>
      </c>
      <c r="H35" s="134">
        <f>COUNTIF(入力!$P$22:$P$6557,4)</f>
        <v>0</v>
      </c>
      <c r="I35" s="128">
        <f>IF(初期設定!$C$19=初期設定!$E$19,IF(初期設定!F24=1,IF(SUM(E35:H35)=0,"",((E35*2+H35*2)+F35)/SUM(E35:H35)*100/2),IF(SUM(E35:G35)=0,"",(E35*2+F35)/SUM(E35:G35)*100/2)),IF(SUM(E35:H35)=0,"",(E35*3+F35*2+G35)/SUM(E35:H35)*100/3))</f>
        <v>50</v>
      </c>
      <c r="J35" s="123">
        <f>IF(初期設定!$D24=集計レポート!J$33,集計レポート!$I35,"")</f>
        <v>50</v>
      </c>
      <c r="K35" s="123" t="str">
        <f>IF(初期設定!$D24=集計レポート!K$33,集計レポート!$I35,"")</f>
        <v/>
      </c>
      <c r="L35" s="123" t="str">
        <f>IF(初期設定!$D24=集計レポート!L$33,集計レポート!$I35,"")</f>
        <v/>
      </c>
      <c r="M35" s="123" t="str">
        <f>IF(初期設定!$D24=集計レポート!M$33,集計レポート!$I35,"")</f>
        <v/>
      </c>
      <c r="N35" s="123" t="str">
        <f>IF(初期設定!$D24=集計レポート!N$33,集計レポート!$I35,"")</f>
        <v/>
      </c>
    </row>
    <row r="36" spans="1:14" x14ac:dyDescent="0.2">
      <c r="A36" s="127"/>
      <c r="B36" s="107" t="s">
        <v>431</v>
      </c>
      <c r="C36" s="107"/>
      <c r="D36" s="107"/>
      <c r="E36" s="127">
        <f>COUNTIF(入力!$Q$22:$Q$6557,1)</f>
        <v>0</v>
      </c>
      <c r="F36" s="107">
        <f>COUNTIF(入力!$Q$22:$Q$6557,2)</f>
        <v>1</v>
      </c>
      <c r="G36" s="107">
        <f>COUNTIF(入力!$Q$22:$Q$6557,3)</f>
        <v>0</v>
      </c>
      <c r="H36" s="134">
        <f>COUNTIF(入力!$Q$22:$Q$6557,4)</f>
        <v>0</v>
      </c>
      <c r="I36" s="128">
        <f>IF(初期設定!$C$19=初期設定!$E$19,IF(初期設定!F25=1,IF(SUM(E36:H36)=0,"",((E36*2+H36*2)+F36)/SUM(E36:H36)*100/2),IF(SUM(E36:G36)=0,"",(E36*2+F36)/SUM(E36:G36)*100/2)),IF(SUM(E36:H36)=0,"",(E36*3+F36*2+G36)/SUM(E36:H36)*100/3))</f>
        <v>50</v>
      </c>
      <c r="J36" s="123">
        <f>IF(初期設定!$D25=集計レポート!J$33,集計レポート!$I36,"")</f>
        <v>50</v>
      </c>
      <c r="K36" s="123" t="str">
        <f>IF(初期設定!$D25=集計レポート!K$33,集計レポート!$I36,"")</f>
        <v/>
      </c>
      <c r="L36" s="123" t="str">
        <f>IF(初期設定!$D25=集計レポート!L$33,集計レポート!$I36,"")</f>
        <v/>
      </c>
      <c r="M36" s="123" t="str">
        <f>IF(初期設定!$D25=集計レポート!M$33,集計レポート!$I36,"")</f>
        <v/>
      </c>
      <c r="N36" s="123" t="str">
        <f>IF(初期設定!$D25=集計レポート!N$33,集計レポート!$I36,"")</f>
        <v/>
      </c>
    </row>
    <row r="37" spans="1:14" x14ac:dyDescent="0.2">
      <c r="A37" s="127"/>
      <c r="B37" s="107" t="s">
        <v>432</v>
      </c>
      <c r="C37" s="107"/>
      <c r="D37" s="107"/>
      <c r="E37" s="127">
        <f>COUNTIF(入力!$R$22:$R$6557,1)</f>
        <v>1</v>
      </c>
      <c r="F37" s="107">
        <f>COUNTIF(入力!$R$22:$R$6557,2)</f>
        <v>0</v>
      </c>
      <c r="G37" s="107">
        <f>COUNTIF(入力!$R$22:$R$6557,3)</f>
        <v>0</v>
      </c>
      <c r="H37" s="134">
        <f>COUNTIF(入力!$R$22:$R$6557,4)</f>
        <v>0</v>
      </c>
      <c r="I37" s="128">
        <f>IF(初期設定!$C$19=初期設定!$E$19,IF(初期設定!F26=1,IF(SUM(E37:H37)=0,"",((E37*2+H37*2)+F37)/SUM(E37:H37)*100/2),IF(SUM(E37:G37)=0,"",(E37*2+F37)/SUM(E37:G37)*100/2)),IF(SUM(E37:H37)=0,"",(E37*3+F37*2+G37)/SUM(E37:H37)*100/3))</f>
        <v>100</v>
      </c>
      <c r="J37" s="123" t="str">
        <f>IF(初期設定!$D26=集計レポート!J$33,集計レポート!$I37,"")</f>
        <v/>
      </c>
      <c r="K37" s="123">
        <f>IF(初期設定!$D26=集計レポート!K$33,集計レポート!$I37,"")</f>
        <v>100</v>
      </c>
      <c r="L37" s="123" t="str">
        <f>IF(初期設定!$D26=集計レポート!L$33,集計レポート!$I37,"")</f>
        <v/>
      </c>
      <c r="M37" s="123" t="str">
        <f>IF(初期設定!$D26=集計レポート!M$33,集計レポート!$I37,"")</f>
        <v/>
      </c>
      <c r="N37" s="123" t="str">
        <f>IF(初期設定!$D26=集計レポート!N$33,集計レポート!$I37,"")</f>
        <v/>
      </c>
    </row>
    <row r="38" spans="1:14" x14ac:dyDescent="0.2">
      <c r="A38" s="127"/>
      <c r="B38" s="107" t="s">
        <v>433</v>
      </c>
      <c r="C38" s="107"/>
      <c r="D38" s="107"/>
      <c r="E38" s="127">
        <f>COUNTIF(入力!$S$22:$S$6557,1)</f>
        <v>0</v>
      </c>
      <c r="F38" s="107">
        <f>COUNTIF(入力!$S$22:$S$6557,2)</f>
        <v>0</v>
      </c>
      <c r="G38" s="107">
        <f>COUNTIF(入力!$S$22:$S$6557,3)</f>
        <v>1</v>
      </c>
      <c r="H38" s="134">
        <f>COUNTIF(入力!$S$22:$S$6557,4)</f>
        <v>0</v>
      </c>
      <c r="I38" s="128">
        <f>IF(初期設定!$C$19=初期設定!$E$19,IF(初期設定!F27=1,IF(SUM(E38:H38)=0,"",((E38*2+H38*2)+F38)/SUM(E38:H38)*100/2),IF(SUM(E38:G38)=0,"",(E38*2+F38)/SUM(E38:G38)*100/2)),IF(SUM(E38:H38)=0,"",(E38*3+F38*2+G38)/SUM(E38:H38)*100/3))</f>
        <v>0</v>
      </c>
      <c r="J38" s="123" t="str">
        <f>IF(初期設定!$D27=集計レポート!J$33,集計レポート!$I38,"")</f>
        <v/>
      </c>
      <c r="K38" s="123">
        <f>IF(初期設定!$D27=集計レポート!K$33,集計レポート!$I38,"")</f>
        <v>0</v>
      </c>
      <c r="L38" s="123" t="str">
        <f>IF(初期設定!$D27=集計レポート!L$33,集計レポート!$I38,"")</f>
        <v/>
      </c>
      <c r="M38" s="123" t="str">
        <f>IF(初期設定!$D27=集計レポート!M$33,集計レポート!$I38,"")</f>
        <v/>
      </c>
      <c r="N38" s="123" t="str">
        <f>IF(初期設定!$D27=集計レポート!N$33,集計レポート!$I38,"")</f>
        <v/>
      </c>
    </row>
    <row r="39" spans="1:14" x14ac:dyDescent="0.2">
      <c r="A39" s="127"/>
      <c r="B39" s="107" t="s">
        <v>434</v>
      </c>
      <c r="C39" s="107"/>
      <c r="D39" s="107"/>
      <c r="E39" s="127">
        <f>COUNTIF(入力!$T$22:$T$6557,1)</f>
        <v>0</v>
      </c>
      <c r="F39" s="107">
        <f>COUNTIF(入力!$T$22:$T$6557,2)</f>
        <v>1</v>
      </c>
      <c r="G39" s="107">
        <f>COUNTIF(入力!$T$22:$T$6557,3)</f>
        <v>0</v>
      </c>
      <c r="H39" s="134">
        <f>COUNTIF(入力!$T$22:$T$6557,4)</f>
        <v>0</v>
      </c>
      <c r="I39" s="128">
        <f>IF(初期設定!$C$19=初期設定!$E$19,IF(初期設定!F28=1,IF(SUM(E39:H39)=0,"",((E39*2+H39*2)+F39)/SUM(E39:H39)*100/2),IF(SUM(E39:G39)=0,"",(E39*2+F39)/SUM(E39:G39)*100/2)),IF(SUM(E39:H39)=0,"",(E39*3+F39*2+G39)/SUM(E39:H39)*100/3))</f>
        <v>50</v>
      </c>
      <c r="J39" s="123" t="str">
        <f>IF(初期設定!$D28=集計レポート!J$33,集計レポート!$I39,"")</f>
        <v/>
      </c>
      <c r="K39" s="123">
        <f>IF(初期設定!$D28=集計レポート!K$33,集計レポート!$I39,"")</f>
        <v>50</v>
      </c>
      <c r="L39" s="123" t="str">
        <f>IF(初期設定!$D28=集計レポート!L$33,集計レポート!$I39,"")</f>
        <v/>
      </c>
      <c r="M39" s="123" t="str">
        <f>IF(初期設定!$D28=集計レポート!M$33,集計レポート!$I39,"")</f>
        <v/>
      </c>
      <c r="N39" s="123" t="str">
        <f>IF(初期設定!$D28=集計レポート!N$33,集計レポート!$I39,"")</f>
        <v/>
      </c>
    </row>
    <row r="40" spans="1:14" x14ac:dyDescent="0.2">
      <c r="A40" s="127"/>
      <c r="B40" s="107" t="s">
        <v>407</v>
      </c>
      <c r="C40" s="107"/>
      <c r="D40" s="107"/>
      <c r="E40" s="127">
        <f>COUNTIF(入力!$U$22:$U$6557,1)</f>
        <v>0</v>
      </c>
      <c r="F40" s="107">
        <f>COUNTIF(入力!$U$22:$U$6557,2)</f>
        <v>1</v>
      </c>
      <c r="G40" s="107">
        <f>COUNTIF(入力!$U$22:$U$6557,3)</f>
        <v>0</v>
      </c>
      <c r="H40" s="134">
        <f>COUNTIF(入力!$U$22:$U$6557,4)</f>
        <v>0</v>
      </c>
      <c r="I40" s="128">
        <f>IF(初期設定!$C$19=初期設定!$E$19,IF(初期設定!F29=1,IF(SUM(E40:H40)=0,"",((E40*2+H40*2)+F40)/SUM(E40:H40)*100/2),IF(SUM(E40:G40)=0,"",(E40*2+F40)/SUM(E40:G40)*100/2)),IF(SUM(E40:H40)=0,"",(E40*3+F40*2+G40)/SUM(E40:H40)*100/3))</f>
        <v>50</v>
      </c>
      <c r="J40" s="123" t="str">
        <f>IF(初期設定!$D29=集計レポート!J$33,集計レポート!$I40,"")</f>
        <v/>
      </c>
      <c r="K40" s="123" t="str">
        <f>IF(初期設定!$D29=集計レポート!K$33,集計レポート!$I40,"")</f>
        <v/>
      </c>
      <c r="L40" s="123">
        <f>IF(初期設定!$D29=集計レポート!L$33,集計レポート!$I40,"")</f>
        <v>50</v>
      </c>
      <c r="M40" s="123" t="str">
        <f>IF(初期設定!$D29=集計レポート!M$33,集計レポート!$I40,"")</f>
        <v/>
      </c>
      <c r="N40" s="123" t="str">
        <f>IF(初期設定!$D29=集計レポート!N$33,集計レポート!$I40,"")</f>
        <v/>
      </c>
    </row>
    <row r="41" spans="1:14" x14ac:dyDescent="0.2">
      <c r="A41" s="127"/>
      <c r="B41" s="107" t="s">
        <v>408</v>
      </c>
      <c r="C41" s="107"/>
      <c r="D41" s="107"/>
      <c r="E41" s="127">
        <f>COUNTIF(入力!$V$22:$V$6557,1)</f>
        <v>1</v>
      </c>
      <c r="F41" s="107">
        <f>COUNTIF(入力!$V$22:$V$6557,2)</f>
        <v>0</v>
      </c>
      <c r="G41" s="107">
        <f>COUNTIF(入力!$V$22:$V$6557,3)</f>
        <v>0</v>
      </c>
      <c r="H41" s="134">
        <f>COUNTIF(入力!$V$22:$V$6557,4)</f>
        <v>0</v>
      </c>
      <c r="I41" s="128">
        <f>IF(初期設定!$C$19=初期設定!$E$19,IF(初期設定!F30=1,IF(SUM(E41:H41)=0,"",((E41*2+H41*2)+F41)/SUM(E41:H41)*100/2),IF(SUM(E41:G41)=0,"",(E41*2+F41)/SUM(E41:G41)*100/2)),IF(SUM(E41:H41)=0,"",(E41*3+F41*2+G41)/SUM(E41:H41)*100/3))</f>
        <v>100</v>
      </c>
      <c r="J41" s="123" t="str">
        <f>IF(初期設定!$D30=集計レポート!J$33,集計レポート!$I41,"")</f>
        <v/>
      </c>
      <c r="K41" s="123" t="str">
        <f>IF(初期設定!$D30=集計レポート!K$33,集計レポート!$I41,"")</f>
        <v/>
      </c>
      <c r="L41" s="123">
        <f>IF(初期設定!$D30=集計レポート!L$33,集計レポート!$I41,"")</f>
        <v>100</v>
      </c>
      <c r="M41" s="123" t="str">
        <f>IF(初期設定!$D30=集計レポート!M$33,集計レポート!$I41,"")</f>
        <v/>
      </c>
      <c r="N41" s="123" t="str">
        <f>IF(初期設定!$D30=集計レポート!N$33,集計レポート!$I41,"")</f>
        <v/>
      </c>
    </row>
    <row r="42" spans="1:14" x14ac:dyDescent="0.2">
      <c r="A42" s="127"/>
      <c r="B42" s="107" t="s">
        <v>409</v>
      </c>
      <c r="C42" s="107"/>
      <c r="D42" s="107"/>
      <c r="E42" s="127">
        <f>COUNTIF(入力!$W$22:$W$6557,1)</f>
        <v>1</v>
      </c>
      <c r="F42" s="107">
        <f>COUNTIF(入力!$W$22:$W$6557,2)</f>
        <v>0</v>
      </c>
      <c r="G42" s="107">
        <f>COUNTIF(入力!$W$22:$W$6557,3)</f>
        <v>0</v>
      </c>
      <c r="H42" s="134">
        <f>COUNTIF(入力!$W$22:$W$6557,4)</f>
        <v>0</v>
      </c>
      <c r="I42" s="128">
        <f>IF(初期設定!$C$19=初期設定!$E$19,IF(初期設定!F31=1,IF(SUM(E42:H42)=0,"",((E42*2+H42*2)+F42)/SUM(E42:H42)*100/2),IF(SUM(E42:G42)=0,"",(E42*2+F42)/SUM(E42:G42)*100/2)),IF(SUM(E42:H42)=0,"",(E42*3+F42*2+G42)/SUM(E42:H42)*100/3))</f>
        <v>100</v>
      </c>
      <c r="J42" s="123" t="str">
        <f>IF(初期設定!$D31=集計レポート!J$33,集計レポート!$I42,"")</f>
        <v/>
      </c>
      <c r="K42" s="123" t="str">
        <f>IF(初期設定!$D31=集計レポート!K$33,集計レポート!$I42,"")</f>
        <v/>
      </c>
      <c r="L42" s="123">
        <f>IF(初期設定!$D31=集計レポート!L$33,集計レポート!$I42,"")</f>
        <v>100</v>
      </c>
      <c r="M42" s="123" t="str">
        <f>IF(初期設定!$D31=集計レポート!M$33,集計レポート!$I42,"")</f>
        <v/>
      </c>
      <c r="N42" s="123" t="str">
        <f>IF(初期設定!$D31=集計レポート!N$33,集計レポート!$I42,"")</f>
        <v/>
      </c>
    </row>
    <row r="43" spans="1:14" x14ac:dyDescent="0.2">
      <c r="A43" s="127"/>
      <c r="B43" s="107" t="s">
        <v>410</v>
      </c>
      <c r="C43" s="107"/>
      <c r="D43" s="107"/>
      <c r="E43" s="127">
        <f>COUNTIF(入力!$X$22:$X$6557,1)</f>
        <v>0</v>
      </c>
      <c r="F43" s="107">
        <f>COUNTIF(入力!$X$22:$X$6557,2)</f>
        <v>1</v>
      </c>
      <c r="G43" s="107">
        <f>COUNTIF(入力!$X$22:$X$6557,3)</f>
        <v>0</v>
      </c>
      <c r="H43" s="134">
        <f>COUNTIF(入力!$X$22:$X$6557,4)</f>
        <v>0</v>
      </c>
      <c r="I43" s="128">
        <f>IF(初期設定!$C$19=初期設定!$E$19,IF(初期設定!F32=1,IF(SUM(E43:H43)=0,"",((E43*2+H43*2)+F43)/SUM(E43:H43)*100/2),IF(SUM(E43:G43)=0,"",(E43*2+F43)/SUM(E43:G43)*100/2)),IF(SUM(E43:H43)=0,"",(E43*3+F43*2+G43)/SUM(E43:H43)*100/3))</f>
        <v>50</v>
      </c>
      <c r="J43" s="123" t="str">
        <f>IF(初期設定!$D32=集計レポート!J$33,集計レポート!$I43,"")</f>
        <v/>
      </c>
      <c r="K43" s="123" t="str">
        <f>IF(初期設定!$D32=集計レポート!K$33,集計レポート!$I43,"")</f>
        <v/>
      </c>
      <c r="L43" s="123" t="str">
        <f>IF(初期設定!$D32=集計レポート!L$33,集計レポート!$I43,"")</f>
        <v/>
      </c>
      <c r="M43" s="123">
        <f>IF(初期設定!$D32=集計レポート!M$33,集計レポート!$I43,"")</f>
        <v>50</v>
      </c>
      <c r="N43" s="123" t="str">
        <f>IF(初期設定!$D32=集計レポート!N$33,集計レポート!$I43,"")</f>
        <v/>
      </c>
    </row>
    <row r="44" spans="1:14" x14ac:dyDescent="0.2">
      <c r="A44" s="127"/>
      <c r="B44" s="107" t="s">
        <v>411</v>
      </c>
      <c r="C44" s="107"/>
      <c r="D44" s="107"/>
      <c r="E44" s="127">
        <f>COUNTIF(入力!$Y$22:$Y$6557,1)</f>
        <v>0</v>
      </c>
      <c r="F44" s="107">
        <f>COUNTIF(入力!$Y$22:$Y$6557,2)</f>
        <v>0</v>
      </c>
      <c r="G44" s="107">
        <f>COUNTIF(入力!$Y$22:$Y$6557,3)</f>
        <v>1</v>
      </c>
      <c r="H44" s="134">
        <f>COUNTIF(入力!$Y$22:$Y$6557,4)</f>
        <v>0</v>
      </c>
      <c r="I44" s="128">
        <f>IF(初期設定!$C$19=初期設定!$E$19,IF(初期設定!F33=1,IF(SUM(E44:H44)=0,"",((E44*2+H44*2)+F44)/SUM(E44:H44)*100/2),IF(SUM(E44:G44)=0,"",(E44*2+F44)/SUM(E44:G44)*100/2)),IF(SUM(E44:H44)=0,"",(E44*3+F44*2+G44)/SUM(E44:H44)*100/3))</f>
        <v>0</v>
      </c>
      <c r="J44" s="123" t="str">
        <f>IF(初期設定!$D33=集計レポート!J$33,集計レポート!$I44,"")</f>
        <v/>
      </c>
      <c r="K44" s="123" t="str">
        <f>IF(初期設定!$D33=集計レポート!K$33,集計レポート!$I44,"")</f>
        <v/>
      </c>
      <c r="L44" s="123" t="str">
        <f>IF(初期設定!$D33=集計レポート!L$33,集計レポート!$I44,"")</f>
        <v/>
      </c>
      <c r="M44" s="123">
        <f>IF(初期設定!$D33=集計レポート!M$33,集計レポート!$I44,"")</f>
        <v>0</v>
      </c>
      <c r="N44" s="123" t="str">
        <f>IF(初期設定!$D33=集計レポート!N$33,集計レポート!$I44,"")</f>
        <v/>
      </c>
    </row>
    <row r="45" spans="1:14" x14ac:dyDescent="0.2">
      <c r="A45" s="127"/>
      <c r="B45" s="107" t="s">
        <v>412</v>
      </c>
      <c r="C45" s="107"/>
      <c r="D45" s="107"/>
      <c r="E45" s="127">
        <f>COUNTIF(入力!$Z$22:$Z$6557,1)</f>
        <v>0</v>
      </c>
      <c r="F45" s="107">
        <f>COUNTIF(入力!$Z$22:$Z$6557,2)</f>
        <v>1</v>
      </c>
      <c r="G45" s="107">
        <f>COUNTIF(入力!$Z$22:$Z$6557,3)</f>
        <v>0</v>
      </c>
      <c r="H45" s="134">
        <f>COUNTIF(入力!$Z$22:$Z$6557,4)</f>
        <v>0</v>
      </c>
      <c r="I45" s="128">
        <f>IF(初期設定!$C$19=初期設定!$E$19,IF(初期設定!F34=1,IF(SUM(E45:H45)=0,"",((E45*2+H45*2)+F45)/SUM(E45:H45)*100/2),IF(SUM(E45:G45)=0,"",(E45*2+F45)/SUM(E45:G45)*100/2)),IF(SUM(E45:H45)=0,"",(E45*3+F45*2+G45)/SUM(E45:H45)*100/3))</f>
        <v>50</v>
      </c>
      <c r="J45" s="123" t="str">
        <f>IF(初期設定!$D34=集計レポート!J$33,集計レポート!$I45,"")</f>
        <v/>
      </c>
      <c r="K45" s="123" t="str">
        <f>IF(初期設定!$D34=集計レポート!K$33,集計レポート!$I45,"")</f>
        <v/>
      </c>
      <c r="L45" s="123" t="str">
        <f>IF(初期設定!$D34=集計レポート!L$33,集計レポート!$I45,"")</f>
        <v/>
      </c>
      <c r="M45" s="123">
        <f>IF(初期設定!$D34=集計レポート!M$33,集計レポート!$I45,"")</f>
        <v>50</v>
      </c>
      <c r="N45" s="123" t="str">
        <f>IF(初期設定!$D34=集計レポート!N$33,集計レポート!$I45,"")</f>
        <v/>
      </c>
    </row>
    <row r="46" spans="1:14" x14ac:dyDescent="0.2">
      <c r="A46" s="127"/>
      <c r="B46" s="107" t="s">
        <v>413</v>
      </c>
      <c r="C46" s="107"/>
      <c r="D46" s="107"/>
      <c r="E46" s="127">
        <f>COUNTIF(入力!$AA$22:$AA$6557,1)</f>
        <v>0</v>
      </c>
      <c r="F46" s="107">
        <f>COUNTIF(入力!$AA$22:$AA$6557,2)</f>
        <v>0</v>
      </c>
      <c r="G46" s="107">
        <f>COUNTIF(入力!$AA$22:$AA$6557,3)</f>
        <v>0</v>
      </c>
      <c r="H46" s="134">
        <f>COUNTIF(入力!$AA$22:$AA$6557,4)</f>
        <v>1</v>
      </c>
      <c r="I46" s="128">
        <f>IF(初期設定!$C$19=初期設定!$E$19,IF(初期設定!F35=1,IF(SUM(E46:H46)=0,"",((E46*2+H46*2)+F46)/SUM(E46:H46)*100/2),IF(SUM(E46:G46)=0,"",(E46*2+F46)/SUM(E46:G46)*100/2)),IF(SUM(E46:H46)=0,"",(E46*3+F46*2+G46)/SUM(E46:H46)*100/3))</f>
        <v>100</v>
      </c>
      <c r="J46" s="123" t="str">
        <f>IF(初期設定!$D35=集計レポート!J$33,集計レポート!$I46,"")</f>
        <v/>
      </c>
      <c r="K46" s="123" t="str">
        <f>IF(初期設定!$D35=集計レポート!K$33,集計レポート!$I46,"")</f>
        <v/>
      </c>
      <c r="L46" s="123" t="str">
        <f>IF(初期設定!$D35=集計レポート!L$33,集計レポート!$I46,"")</f>
        <v/>
      </c>
      <c r="M46" s="123" t="str">
        <f>IF(初期設定!$D35=集計レポート!M$33,集計レポート!$I46,"")</f>
        <v/>
      </c>
      <c r="N46" s="123">
        <f>IF(初期設定!$D35=集計レポート!N$33,集計レポート!$I46,"")</f>
        <v>100</v>
      </c>
    </row>
    <row r="47" spans="1:14" x14ac:dyDescent="0.2">
      <c r="A47" s="127"/>
      <c r="B47" s="107" t="s">
        <v>414</v>
      </c>
      <c r="C47" s="107"/>
      <c r="D47" s="107"/>
      <c r="E47" s="127">
        <f>COUNTIF(入力!$AB$22:$AB$6557,1)</f>
        <v>1</v>
      </c>
      <c r="F47" s="107">
        <f>COUNTIF(入力!$AB$22:$AB$6557,2)</f>
        <v>0</v>
      </c>
      <c r="G47" s="107">
        <f>COUNTIF(入力!$AB$22:$AB$6557,3)</f>
        <v>0</v>
      </c>
      <c r="H47" s="134">
        <f>COUNTIF(入力!$AB$22:$AB$6557,4)</f>
        <v>0</v>
      </c>
      <c r="I47" s="128">
        <f>IF(初期設定!$C$19=初期設定!$E$19,IF(初期設定!F36=1,IF(SUM(E47:H47)=0,"",((E47*2+H47*2)+F47)/SUM(E47:H47)*100/2),IF(SUM(E47:G47)=0,"",(E47*2+F47)/SUM(E47:G47)*100/2)),IF(SUM(E47:H47)=0,"",(E47*3+F47*2+G47)/SUM(E47:H47)*100/3))</f>
        <v>100</v>
      </c>
      <c r="J47" s="123" t="str">
        <f>IF(初期設定!$D36=集計レポート!J$33,集計レポート!$I47,"")</f>
        <v/>
      </c>
      <c r="K47" s="123" t="str">
        <f>IF(初期設定!$D36=集計レポート!K$33,集計レポート!$I47,"")</f>
        <v/>
      </c>
      <c r="L47" s="123" t="str">
        <f>IF(初期設定!$D36=集計レポート!L$33,集計レポート!$I47,"")</f>
        <v/>
      </c>
      <c r="M47" s="123" t="str">
        <f>IF(初期設定!$D36=集計レポート!M$33,集計レポート!$I47,"")</f>
        <v/>
      </c>
      <c r="N47" s="123">
        <f>IF(初期設定!$D36=集計レポート!N$33,集計レポート!$I47,"")</f>
        <v>100</v>
      </c>
    </row>
    <row r="48" spans="1:14" x14ac:dyDescent="0.2">
      <c r="A48" s="127"/>
      <c r="B48" s="107" t="s">
        <v>415</v>
      </c>
      <c r="C48" s="107"/>
      <c r="D48" s="107"/>
      <c r="E48" s="127">
        <f>COUNTIF(入力!$AC$22:$AC$6557,1)</f>
        <v>1</v>
      </c>
      <c r="F48" s="107">
        <f>COUNTIF(入力!$AC$22:$AC$6557,2)</f>
        <v>0</v>
      </c>
      <c r="G48" s="107">
        <f>COUNTIF(入力!$AC$22:$AC$6557,3)</f>
        <v>0</v>
      </c>
      <c r="H48" s="134">
        <f>COUNTIF(入力!$AC$22:$AC$6557,4)</f>
        <v>0</v>
      </c>
      <c r="I48" s="128">
        <f>IF(初期設定!$C$19=初期設定!$E$19,IF(初期設定!F37=1,IF(SUM(E48:H48)=0,"",((E48*2+H48*2)+F48)/SUM(E48:H48)*100/2),IF(SUM(E48:G48)=0,"",(E48*2+F48)/SUM(E48:G48)*100/2)),IF(SUM(E48:H48)=0,"",(E48*3+F48*2+G48)/SUM(E48:H48)*100/3))</f>
        <v>100</v>
      </c>
      <c r="J48" s="123" t="str">
        <f>IF(初期設定!$D37=集計レポート!J$33,集計レポート!$I48,"")</f>
        <v/>
      </c>
      <c r="K48" s="123" t="str">
        <f>IF(初期設定!$D37=集計レポート!K$33,集計レポート!$I48,"")</f>
        <v/>
      </c>
      <c r="L48" s="123" t="str">
        <f>IF(初期設定!$D37=集計レポート!L$33,集計レポート!$I48,"")</f>
        <v/>
      </c>
      <c r="M48" s="123" t="str">
        <f>IF(初期設定!$D37=集計レポート!M$33,集計レポート!$I48,"")</f>
        <v/>
      </c>
      <c r="N48" s="123">
        <f>IF(初期設定!$D37=集計レポート!N$33,集計レポート!$I48,"")</f>
        <v>100</v>
      </c>
    </row>
    <row r="49" spans="1:15" ht="13.5" thickBot="1" x14ac:dyDescent="0.25">
      <c r="A49" s="202"/>
      <c r="B49" s="203" t="s">
        <v>416</v>
      </c>
      <c r="C49" s="203"/>
      <c r="D49" s="203"/>
      <c r="E49" s="202">
        <f>COUNTIF(入力!$AD$22:$AD$6557,1)</f>
        <v>0</v>
      </c>
      <c r="F49" s="203">
        <f>COUNTIF(入力!$AD$22:$AD$6557,2)</f>
        <v>1</v>
      </c>
      <c r="G49" s="203">
        <f>COUNTIF(入力!$AD$22:$AD$6557,3)</f>
        <v>0</v>
      </c>
      <c r="H49" s="204">
        <f>COUNTIF(入力!$AD$22:$AD$6557,4)</f>
        <v>0</v>
      </c>
      <c r="I49" s="205">
        <f>IF(初期設定!$C$19=初期設定!$E$19,IF(初期設定!F38=1,IF(SUM(E49:H49)=0,"",((E49*2+H49*2)+F49)/SUM(E49:H49)*100/2),IF(SUM(E49:G49)=0,"",(E49*2+F49)/SUM(E49:G49)*100/2)),IF(SUM(E49:H49)=0,"",(E49*3+F49*2+G49)/SUM(E49:H49)*100/3))</f>
        <v>50</v>
      </c>
      <c r="J49" s="206" t="str">
        <f>IF(初期設定!$D38=集計レポート!J$33,集計レポート!$I49,"")</f>
        <v/>
      </c>
      <c r="K49" s="206" t="str">
        <f>IF(初期設定!$D38=集計レポート!K$33,集計レポート!$I49,"")</f>
        <v/>
      </c>
      <c r="L49" s="206" t="str">
        <f>IF(初期設定!$D38=集計レポート!L$33,集計レポート!$I49,"")</f>
        <v/>
      </c>
      <c r="M49" s="206" t="str">
        <f>IF(初期設定!$D38=集計レポート!M$33,集計レポート!$I49,"")</f>
        <v/>
      </c>
      <c r="N49" s="206">
        <f>IF(初期設定!$D38=集計レポート!N$33,集計レポート!$I49,"")</f>
        <v>50</v>
      </c>
      <c r="O49" s="107"/>
    </row>
    <row r="50" spans="1:15" hidden="1" x14ac:dyDescent="0.2">
      <c r="A50" s="127"/>
      <c r="B50" s="107"/>
      <c r="C50" s="107"/>
      <c r="D50" s="107"/>
      <c r="E50" s="127">
        <f>COUNTIF(入力!$AE$22:$AE$6557,1)</f>
        <v>0</v>
      </c>
      <c r="F50" s="107">
        <f>COUNTIF(入力!$AE$22:$AE$6557,2)</f>
        <v>0</v>
      </c>
      <c r="G50" s="107">
        <f>COUNTIF(入力!$AE$22:$AE$6557,3)</f>
        <v>0</v>
      </c>
      <c r="H50" s="134">
        <f>COUNTIF(入力!$AE$22:$AE$6557,4)</f>
        <v>0</v>
      </c>
      <c r="I50" s="128" t="str">
        <f>IF(初期設定!$C$19=初期設定!$E$19,IF(初期設定!F39=1,IF(SUM(E50:H50)=0,"",((E50*2+H50*2)+F50)/SUM(E50:H50)*100/2),IF(SUM(E50:G50)=0,"",(E50*2+F50)/SUM(E50:G50)*100/2)),IF(SUM(E50:H50)=0,"",(E50*3+F50*2+G50)/SUM(E50:H50)*100/3))</f>
        <v/>
      </c>
      <c r="J50" s="123" t="str">
        <f>IF(初期設定!$D39=集計レポート!J$33,集計レポート!$I50,"")</f>
        <v/>
      </c>
      <c r="K50" s="123" t="str">
        <f>IF(初期設定!$D39=集計レポート!K$33,集計レポート!$I50,"")</f>
        <v/>
      </c>
      <c r="L50" s="123" t="str">
        <f>IF(初期設定!$D39=集計レポート!L$33,集計レポート!$I50,"")</f>
        <v/>
      </c>
      <c r="M50" s="123" t="str">
        <f>IF(初期設定!$D39=集計レポート!M$33,集計レポート!$I50,"")</f>
        <v/>
      </c>
      <c r="N50" s="123" t="str">
        <f>IF(初期設定!$D39=集計レポート!N$33,集計レポート!$I50,"")</f>
        <v/>
      </c>
    </row>
    <row r="51" spans="1:15" hidden="1" x14ac:dyDescent="0.2">
      <c r="A51" s="127"/>
      <c r="B51" s="107"/>
      <c r="C51" s="107"/>
      <c r="D51" s="107"/>
      <c r="E51" s="127">
        <f>COUNTIF(入力!$AF$22:$AF$6557,1)</f>
        <v>0</v>
      </c>
      <c r="F51" s="107">
        <f>COUNTIF(入力!$AF$22:$AF$6557,2)</f>
        <v>0</v>
      </c>
      <c r="G51" s="107">
        <f>COUNTIF(入力!$AF$22:$AF$6557,3)</f>
        <v>0</v>
      </c>
      <c r="H51" s="134">
        <f>COUNTIF(入力!$AF$22:$AF$6557,4)</f>
        <v>0</v>
      </c>
      <c r="I51" s="128" t="str">
        <f>IF(初期設定!$C$19=初期設定!$E$19,IF(初期設定!F40=1,IF(SUM(E51:H51)=0,"",((E51*2+H51*2)+F51)/SUM(E51:H51)*100/2),IF(SUM(E51:G51)=0,"",(E51*2+F51)/SUM(E51:G51)*100/2)),IF(SUM(E51:H51)=0,"",(E51*3+F51*2+G51)/SUM(E51:H51)*100/3))</f>
        <v/>
      </c>
      <c r="J51" s="123" t="str">
        <f>IF(初期設定!$D40=集計レポート!J$33,集計レポート!$I51,"")</f>
        <v/>
      </c>
      <c r="K51" s="123" t="str">
        <f>IF(初期設定!$D40=集計レポート!K$33,集計レポート!$I51,"")</f>
        <v/>
      </c>
      <c r="L51" s="123" t="str">
        <f>IF(初期設定!$D40=集計レポート!L$33,集計レポート!$I51,"")</f>
        <v/>
      </c>
      <c r="M51" s="123" t="str">
        <f>IF(初期設定!$D40=集計レポート!M$33,集計レポート!$I51,"")</f>
        <v/>
      </c>
      <c r="N51" s="123" t="str">
        <f>IF(初期設定!$D40=集計レポート!N$33,集計レポート!$I51,"")</f>
        <v/>
      </c>
    </row>
    <row r="52" spans="1:15" hidden="1" x14ac:dyDescent="0.2">
      <c r="A52" s="127"/>
      <c r="B52" s="107"/>
      <c r="C52" s="107"/>
      <c r="D52" s="107"/>
      <c r="E52" s="127">
        <f>COUNTIF(入力!$AG$22:$AG$6557,1)</f>
        <v>0</v>
      </c>
      <c r="F52" s="107">
        <f>COUNTIF(入力!$AG$22:$AG$6557,2)</f>
        <v>0</v>
      </c>
      <c r="G52" s="107">
        <f>COUNTIF(入力!$AG$22:$AG$6557,3)</f>
        <v>0</v>
      </c>
      <c r="H52" s="134">
        <f>COUNTIF(入力!$AG$22:$AG$6557,4)</f>
        <v>0</v>
      </c>
      <c r="I52" s="128" t="str">
        <f>IF(初期設定!$C$19=初期設定!$E$19,IF(初期設定!F41=1,IF(SUM(E52:H52)=0,"",((E52*2+H52*2)+F52)/SUM(E52:H52)*100/2),IF(SUM(E52:G52)=0,"",(E52*2+F52)/SUM(E52:G52)*100/2)),IF(SUM(E52:H52)=0,"",(E52*3+F52*2+G52)/SUM(E52:H52)*100/3))</f>
        <v/>
      </c>
      <c r="J52" s="123"/>
      <c r="K52" s="123"/>
      <c r="L52" s="123"/>
      <c r="M52" s="123"/>
      <c r="N52" s="123"/>
    </row>
    <row r="53" spans="1:15" hidden="1" x14ac:dyDescent="0.2">
      <c r="A53" s="127"/>
      <c r="B53" s="107"/>
      <c r="C53" s="107"/>
      <c r="D53" s="107"/>
      <c r="E53" s="127">
        <f>COUNTIF(入力!$AH$22:$AH$6557,1)</f>
        <v>0</v>
      </c>
      <c r="F53" s="107">
        <f>COUNTIF(入力!$AH$22:$AH$6557,2)</f>
        <v>0</v>
      </c>
      <c r="G53" s="107">
        <f>COUNTIF(入力!$AH$22:$AH$6557,3)</f>
        <v>0</v>
      </c>
      <c r="H53" s="134">
        <f>COUNTIF(入力!$AH$22:$AH$6557,4)</f>
        <v>0</v>
      </c>
      <c r="I53" s="128" t="str">
        <f>IF(初期設定!$C$19=初期設定!$E$19,IF(初期設定!F42=1,IF(SUM(E53:H53)=0,"",((E53*2+H53*2)+F53)/SUM(E53:H53)*100/2),IF(SUM(E53:G53)=0,"",(E53*2+F53)/SUM(E53:G53)*100/2)),IF(SUM(E53:H53)=0,"",(E53*3+F53*2+G53)/SUM(E53:H53)*100/3))</f>
        <v/>
      </c>
      <c r="J53" s="123"/>
      <c r="K53" s="123"/>
      <c r="L53" s="123"/>
      <c r="M53" s="123"/>
      <c r="N53" s="123"/>
    </row>
    <row r="54" spans="1:15" hidden="1" x14ac:dyDescent="0.2">
      <c r="A54" s="127"/>
      <c r="B54" s="107"/>
      <c r="C54" s="107"/>
      <c r="D54" s="107"/>
      <c r="E54" s="127">
        <f>COUNTIF(入力!$AI$22:$AI$6557,1)</f>
        <v>0</v>
      </c>
      <c r="F54" s="107">
        <f>COUNTIF(入力!$AI$22:$AI$6557,2)</f>
        <v>0</v>
      </c>
      <c r="G54" s="107">
        <f>COUNTIF(入力!$AI$22:$AI$6557,3)</f>
        <v>0</v>
      </c>
      <c r="H54" s="134">
        <f>COUNTIF(入力!$AI$22:$AI$6557,4)</f>
        <v>0</v>
      </c>
      <c r="I54" s="128" t="str">
        <f>IF(初期設定!$C$19=初期設定!$E$19,IF(初期設定!F43=1,IF(SUM(E54:H54)=0,"",((E54*2+H54*2)+F54)/SUM(E54:H54)*100/2),IF(SUM(E54:G54)=0,"",(E54*2+F54)/SUM(E54:G54)*100/2)),IF(SUM(E54:H54)=0,"",(E54*3+F54*2+G54)/SUM(E54:H54)*100/3))</f>
        <v/>
      </c>
      <c r="J54" s="123" t="str">
        <f>IF(初期設定!$D43=集計レポート!J$33,集計レポート!$I54,"")</f>
        <v/>
      </c>
      <c r="K54" s="123" t="str">
        <f>IF(初期設定!$D43=集計レポート!K$33,集計レポート!$I54,"")</f>
        <v/>
      </c>
      <c r="L54" s="123" t="str">
        <f>IF(初期設定!$D43=集計レポート!L$33,集計レポート!$I54,"")</f>
        <v/>
      </c>
      <c r="M54" s="123" t="str">
        <f>IF(初期設定!$D43=集計レポート!M$33,集計レポート!$I54,"")</f>
        <v/>
      </c>
      <c r="N54" s="123" t="str">
        <f>IF(初期設定!$D43=集計レポート!N$33,集計レポート!$I54,"")</f>
        <v/>
      </c>
    </row>
    <row r="55" spans="1:15" hidden="1" x14ac:dyDescent="0.2">
      <c r="A55" s="127"/>
      <c r="B55" s="107"/>
      <c r="C55" s="107"/>
      <c r="D55" s="107"/>
      <c r="E55" s="127">
        <f>COUNTIF(入力!$AJ$22:$AJ$6557,1)</f>
        <v>0</v>
      </c>
      <c r="F55" s="107">
        <f>COUNTIF(入力!$AJ$22:$AJ$6557,2)</f>
        <v>0</v>
      </c>
      <c r="G55" s="107">
        <f>COUNTIF(入力!$AJ$22:$AJ$6557,3)</f>
        <v>0</v>
      </c>
      <c r="H55" s="134">
        <f>COUNTIF(入力!$AJ$22:$AJ$6557,4)</f>
        <v>0</v>
      </c>
      <c r="I55" s="128" t="str">
        <f>IF(初期設定!$C$19=初期設定!$E$19,IF(初期設定!F44=1,IF(SUM(E55:H55)=0,"",((E55*2+H55*2)+F55)/SUM(E55:H55)*100/2),IF(SUM(E55:G55)=0,"",(E55*2+F55)/SUM(E55:G55)*100/2)),IF(SUM(E55:H55)=0,"",(E55*3+F55*2+G55)/SUM(E55:H55)*100/3))</f>
        <v/>
      </c>
      <c r="J55" s="123" t="str">
        <f>IF(初期設定!$D44=集計レポート!J$33,集計レポート!$I55,"")</f>
        <v/>
      </c>
      <c r="K55" s="123" t="str">
        <f>IF(初期設定!$D44=集計レポート!K$33,集計レポート!$I55,"")</f>
        <v/>
      </c>
      <c r="L55" s="123" t="str">
        <f>IF(初期設定!$D44=集計レポート!L$33,集計レポート!$I55,"")</f>
        <v/>
      </c>
      <c r="M55" s="123" t="str">
        <f>IF(初期設定!$D44=集計レポート!M$33,集計レポート!$I55,"")</f>
        <v/>
      </c>
      <c r="N55" s="123" t="str">
        <f>IF(初期設定!$D44=集計レポート!N$33,集計レポート!$I55,"")</f>
        <v/>
      </c>
    </row>
    <row r="56" spans="1:15" x14ac:dyDescent="0.2">
      <c r="A56" s="124">
        <v>1</v>
      </c>
      <c r="B56" s="125" t="str">
        <f>初期設定!C9</f>
        <v>家電</v>
      </c>
      <c r="C56" s="125"/>
      <c r="D56" s="125"/>
      <c r="E56" s="124"/>
      <c r="F56" s="125"/>
      <c r="G56" s="125"/>
      <c r="H56" s="126"/>
      <c r="I56" s="133">
        <f>J56</f>
        <v>66.666666666666671</v>
      </c>
      <c r="J56" s="123">
        <f>IF(SUM(J34:J55)=0,0,AVERAGE(J34:J55))</f>
        <v>66.666666666666671</v>
      </c>
      <c r="K56" s="123">
        <f>IF(SUM(K34:K55)=0,0,AVERAGE(K34:K55))</f>
        <v>50</v>
      </c>
      <c r="L56" s="123">
        <f>IF(SUM(L34:L55)=0,0,AVERAGE(L34:L55))</f>
        <v>83.333333333333329</v>
      </c>
      <c r="M56" s="123">
        <f>IF(SUM(M34:M55)=0,0,AVERAGE(M34:M55))</f>
        <v>33.333333333333336</v>
      </c>
      <c r="N56" s="123">
        <f>IF(SUM(N34:N55)=0,0,AVERAGE(N34:N55))</f>
        <v>87.5</v>
      </c>
    </row>
    <row r="57" spans="1:15" x14ac:dyDescent="0.2">
      <c r="A57" s="127">
        <v>2</v>
      </c>
      <c r="B57" s="107" t="str">
        <f>初期設定!C10</f>
        <v>冷暖房</v>
      </c>
      <c r="C57" s="107"/>
      <c r="D57" s="107"/>
      <c r="E57" s="127"/>
      <c r="F57" s="107"/>
      <c r="G57" s="107"/>
      <c r="H57" s="134"/>
      <c r="I57" s="129">
        <f>K56</f>
        <v>50</v>
      </c>
    </row>
    <row r="58" spans="1:15" x14ac:dyDescent="0.2">
      <c r="A58" s="127">
        <v>3</v>
      </c>
      <c r="B58" s="107" t="str">
        <f>初期設定!C11</f>
        <v>給湯</v>
      </c>
      <c r="C58" s="107"/>
      <c r="D58" s="107"/>
      <c r="E58" s="127"/>
      <c r="F58" s="107"/>
      <c r="G58" s="107"/>
      <c r="H58" s="134"/>
      <c r="I58" s="129">
        <f>L56</f>
        <v>83.333333333333329</v>
      </c>
    </row>
    <row r="59" spans="1:15" x14ac:dyDescent="0.2">
      <c r="A59" s="127">
        <v>4</v>
      </c>
      <c r="B59" s="107" t="str">
        <f>初期設定!C12</f>
        <v>車</v>
      </c>
      <c r="C59" s="107"/>
      <c r="D59" s="107"/>
      <c r="E59" s="127"/>
      <c r="F59" s="107"/>
      <c r="G59" s="107"/>
      <c r="H59" s="134"/>
      <c r="I59" s="129">
        <f>M56</f>
        <v>33.333333333333336</v>
      </c>
    </row>
    <row r="60" spans="1:15" x14ac:dyDescent="0.2">
      <c r="A60" s="130">
        <v>5</v>
      </c>
      <c r="B60" s="131" t="str">
        <f>初期設定!C13</f>
        <v>再ｴﾈ・意識</v>
      </c>
      <c r="C60" s="131"/>
      <c r="D60" s="131"/>
      <c r="E60" s="130"/>
      <c r="F60" s="131"/>
      <c r="G60" s="131"/>
      <c r="H60" s="135"/>
      <c r="I60" s="132">
        <f>N56</f>
        <v>87.5</v>
      </c>
    </row>
    <row r="81" spans="2:2" x14ac:dyDescent="0.2">
      <c r="B81" t="s">
        <v>375</v>
      </c>
    </row>
    <row r="82" spans="2:2" x14ac:dyDescent="0.2">
      <c r="B82" t="s">
        <v>378</v>
      </c>
    </row>
    <row r="84" spans="2:2" x14ac:dyDescent="0.2">
      <c r="B84" t="s">
        <v>379</v>
      </c>
    </row>
    <row r="85" spans="2:2" x14ac:dyDescent="0.2">
      <c r="B85" t="s">
        <v>380</v>
      </c>
    </row>
    <row r="88" spans="2:2" x14ac:dyDescent="0.2">
      <c r="B88" t="s">
        <v>376</v>
      </c>
    </row>
    <row r="89" spans="2:2" x14ac:dyDescent="0.2">
      <c r="B89" t="s">
        <v>381</v>
      </c>
    </row>
    <row r="90" spans="2:2" x14ac:dyDescent="0.2">
      <c r="B90" t="s">
        <v>377</v>
      </c>
    </row>
    <row r="92" spans="2:2" x14ac:dyDescent="0.2">
      <c r="B92" t="s">
        <v>382</v>
      </c>
    </row>
    <row r="93" spans="2:2" x14ac:dyDescent="0.2">
      <c r="B93" t="s">
        <v>383</v>
      </c>
    </row>
    <row r="94" spans="2:2" x14ac:dyDescent="0.2">
      <c r="B94" t="s">
        <v>384</v>
      </c>
    </row>
    <row r="95" spans="2:2" x14ac:dyDescent="0.2">
      <c r="B95" t="s">
        <v>385</v>
      </c>
    </row>
    <row r="96" spans="2:2" x14ac:dyDescent="0.2">
      <c r="B96" t="s">
        <v>386</v>
      </c>
    </row>
    <row r="102" spans="2:2" x14ac:dyDescent="0.2">
      <c r="B102" t="s">
        <v>387</v>
      </c>
    </row>
    <row r="103" spans="2:2" x14ac:dyDescent="0.2">
      <c r="B103" t="s">
        <v>388</v>
      </c>
    </row>
    <row r="104" spans="2:2" x14ac:dyDescent="0.2">
      <c r="B104" t="s">
        <v>389</v>
      </c>
    </row>
    <row r="107" spans="2:2" x14ac:dyDescent="0.2">
      <c r="B107" t="s">
        <v>390</v>
      </c>
    </row>
    <row r="108" spans="2:2" x14ac:dyDescent="0.2">
      <c r="B108" t="s">
        <v>391</v>
      </c>
    </row>
    <row r="109" spans="2:2" x14ac:dyDescent="0.2">
      <c r="B109" t="s">
        <v>392</v>
      </c>
    </row>
    <row r="110" spans="2:2" x14ac:dyDescent="0.2">
      <c r="B110" t="s">
        <v>393</v>
      </c>
    </row>
    <row r="112" spans="2:2" x14ac:dyDescent="0.2">
      <c r="B112" t="s">
        <v>394</v>
      </c>
    </row>
    <row r="115" spans="2:2" x14ac:dyDescent="0.2">
      <c r="B115" t="s">
        <v>395</v>
      </c>
    </row>
    <row r="116" spans="2:2" x14ac:dyDescent="0.2">
      <c r="B116" t="s">
        <v>396</v>
      </c>
    </row>
    <row r="117" spans="2:2" x14ac:dyDescent="0.2">
      <c r="B117" t="s">
        <v>397</v>
      </c>
    </row>
    <row r="118" spans="2:2" x14ac:dyDescent="0.2">
      <c r="B118" t="s">
        <v>398</v>
      </c>
    </row>
    <row r="119" spans="2:2" x14ac:dyDescent="0.2">
      <c r="B119" t="s">
        <v>399</v>
      </c>
    </row>
    <row r="120" spans="2:2" x14ac:dyDescent="0.2">
      <c r="B120" t="s">
        <v>400</v>
      </c>
    </row>
    <row r="121" spans="2:2" x14ac:dyDescent="0.2">
      <c r="B121" t="s">
        <v>401</v>
      </c>
    </row>
    <row r="123" spans="2:2" x14ac:dyDescent="0.2">
      <c r="B123" t="s">
        <v>402</v>
      </c>
    </row>
    <row r="125" spans="2:2" x14ac:dyDescent="0.2">
      <c r="B125" t="s">
        <v>403</v>
      </c>
    </row>
    <row r="126" spans="2:2" x14ac:dyDescent="0.2">
      <c r="B126" t="s">
        <v>404</v>
      </c>
    </row>
    <row r="128" spans="2:2" x14ac:dyDescent="0.2">
      <c r="B128" t="s">
        <v>405</v>
      </c>
    </row>
    <row r="129" spans="2:2" x14ac:dyDescent="0.2">
      <c r="B129" t="s">
        <v>406</v>
      </c>
    </row>
  </sheetData>
  <mergeCells count="1">
    <mergeCell ref="G1:H1"/>
  </mergeCells>
  <phoneticPr fontId="3"/>
  <printOptions horizontalCentered="1" verticalCentered="1"/>
  <pageMargins left="0.25" right="0.25" top="0.28000000000000003" bottom="0.3" header="0.3" footer="0.3"/>
  <pageSetup paperSize="9" scale="34" orientation="landscape" horizontalDpi="4294967293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使い方</vt:lpstr>
      <vt:lpstr>初期設定</vt:lpstr>
      <vt:lpstr>印刷用記入シート</vt:lpstr>
      <vt:lpstr>入力</vt:lpstr>
      <vt:lpstr>診断計算</vt:lpstr>
      <vt:lpstr>診断書</vt:lpstr>
      <vt:lpstr>集計レポート</vt:lpstr>
      <vt:lpstr>診断書!Print_Area</vt:lpstr>
    </vt:vector>
  </TitlesOfParts>
  <Company>（有）ひのでやエコライフ研究所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鈴木靖文</dc:creator>
  <cp:lastModifiedBy>MITSUHARU KAWATE</cp:lastModifiedBy>
  <cp:lastPrinted>2019-12-04T00:33:50Z</cp:lastPrinted>
  <dcterms:created xsi:type="dcterms:W3CDTF">2006-04-20T07:19:09Z</dcterms:created>
  <dcterms:modified xsi:type="dcterms:W3CDTF">2020-12-07T01:24:48Z</dcterms:modified>
</cp:coreProperties>
</file>